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68\2024 Base Plan\"/>
    </mc:Choice>
  </mc:AlternateContent>
  <xr:revisionPtr revIDLastSave="0" documentId="13_ncr:1_{6E4F83FF-B2C6-45C0-B120-BBE3A10654E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9" i="16" l="1"/>
  <c r="J72" i="16"/>
  <c r="J73" i="16"/>
  <c r="J74" i="16"/>
  <c r="H72" i="16"/>
  <c r="H73" i="16"/>
  <c r="H74" i="16"/>
  <c r="F72" i="16"/>
  <c r="F73" i="16"/>
  <c r="F74" i="16"/>
  <c r="D72" i="16"/>
  <c r="D73" i="16"/>
  <c r="D74" i="16"/>
  <c r="J71" i="16"/>
  <c r="H71" i="16"/>
  <c r="F71" i="16"/>
  <c r="D71" i="16"/>
  <c r="A72" i="16"/>
  <c r="A73" i="16"/>
  <c r="A74" i="16"/>
  <c r="A71" i="16"/>
  <c r="J69" i="16"/>
  <c r="H69" i="16"/>
  <c r="F69" i="16"/>
  <c r="D69" i="16"/>
  <c r="B69" i="16"/>
  <c r="B62" i="16"/>
  <c r="B63" i="16"/>
  <c r="B64" i="16"/>
  <c r="B61" i="16"/>
  <c r="D1" i="16" l="1"/>
  <c r="R59" i="16"/>
  <c r="R14" i="16"/>
  <c r="R15" i="16"/>
  <c r="R16" i="16"/>
  <c r="R17" i="16"/>
  <c r="R18" i="16"/>
  <c r="J44" i="16"/>
  <c r="H44" i="16"/>
  <c r="F44" i="16"/>
  <c r="D44" i="16"/>
  <c r="B44" i="16"/>
  <c r="A47" i="16"/>
  <c r="A48" i="16" s="1"/>
  <c r="A49" i="16" s="1"/>
  <c r="A50" i="16" s="1"/>
  <c r="A51" i="16" s="1"/>
  <c r="A52" i="16" s="1"/>
  <c r="A53" i="16" s="1"/>
  <c r="A54" i="16" s="1"/>
  <c r="A55" i="16" s="1"/>
  <c r="A29" i="16"/>
  <c r="A30" i="16" s="1"/>
  <c r="A31" i="16" s="1"/>
  <c r="A32" i="16" s="1"/>
  <c r="A33" i="16" s="1"/>
  <c r="A34" i="16" s="1"/>
  <c r="A35" i="16" s="1"/>
  <c r="A36" i="16" s="1"/>
  <c r="A37" i="16" s="1"/>
  <c r="J26" i="16"/>
  <c r="H26" i="16"/>
  <c r="F26" i="16"/>
  <c r="D26" i="16"/>
  <c r="B26" i="16"/>
  <c r="A11" i="16"/>
  <c r="A12" i="16" s="1"/>
  <c r="A13" i="16" s="1"/>
  <c r="A14" i="16" s="1"/>
  <c r="A15" i="16" s="1"/>
  <c r="A16" i="16" s="1"/>
  <c r="A17" i="16" s="1"/>
  <c r="A18" i="16" s="1"/>
  <c r="A10" i="16"/>
  <c r="I43" i="7" l="1"/>
  <c r="G43" i="7"/>
  <c r="E40" i="7"/>
  <c r="I38" i="7"/>
  <c r="G38" i="7"/>
  <c r="E42" i="7"/>
  <c r="I42" i="7" s="1"/>
  <c r="E39" i="7"/>
  <c r="E38" i="7"/>
  <c r="I20" i="7"/>
  <c r="E20" i="7"/>
  <c r="E41" i="7"/>
  <c r="I39" i="7" l="1"/>
  <c r="I40" i="7"/>
  <c r="I41" i="7"/>
  <c r="G40" i="7"/>
  <c r="G41" i="7"/>
  <c r="G42" i="7"/>
  <c r="K38" i="7"/>
  <c r="M38" i="7" s="1"/>
  <c r="G39" i="7"/>
  <c r="O38" i="7" l="1"/>
  <c r="B10" i="16"/>
  <c r="B11" i="16"/>
  <c r="B12" i="16"/>
  <c r="B13" i="16"/>
  <c r="B9" i="16"/>
  <c r="L54" i="16" l="1"/>
  <c r="H50" i="16" l="1"/>
  <c r="H51" i="16"/>
  <c r="H52" i="16"/>
  <c r="H49" i="16"/>
  <c r="I49" i="16" s="1"/>
  <c r="D48" i="16"/>
  <c r="D49" i="16"/>
  <c r="D50" i="16"/>
  <c r="D47" i="16"/>
  <c r="E47" i="16" s="1"/>
  <c r="E48" i="16" s="1"/>
  <c r="E49" i="16" s="1"/>
  <c r="E50" i="16" s="1"/>
  <c r="D51" i="16" s="1"/>
  <c r="E25" i="7"/>
  <c r="I50" i="16" l="1"/>
  <c r="I51" i="16" s="1"/>
  <c r="I52" i="16" s="1"/>
  <c r="H53" i="16" s="1"/>
  <c r="E28" i="7"/>
  <c r="L36" i="16"/>
  <c r="B72" i="16"/>
  <c r="B71" i="16"/>
  <c r="R55" i="16"/>
  <c r="J51" i="16"/>
  <c r="J52" i="16"/>
  <c r="J53" i="16"/>
  <c r="J50" i="16"/>
  <c r="K50" i="16" s="1"/>
  <c r="J33" i="16"/>
  <c r="J34" i="16"/>
  <c r="J35" i="16"/>
  <c r="J32" i="16"/>
  <c r="K32" i="16" s="1"/>
  <c r="R37" i="16"/>
  <c r="L18" i="16"/>
  <c r="P18" i="16" s="1"/>
  <c r="J14" i="16"/>
  <c r="J15" i="16"/>
  <c r="J16" i="16"/>
  <c r="J17" i="16"/>
  <c r="J13" i="16"/>
  <c r="K13" i="16" s="1"/>
  <c r="D56" i="16"/>
  <c r="L53" i="16"/>
  <c r="L52" i="16"/>
  <c r="L51" i="16"/>
  <c r="M51" i="16" s="1"/>
  <c r="M52" i="16" s="1"/>
  <c r="F51" i="16"/>
  <c r="F50" i="16"/>
  <c r="F49" i="16"/>
  <c r="B49" i="16"/>
  <c r="F48" i="16"/>
  <c r="B48" i="16"/>
  <c r="L35" i="16"/>
  <c r="L34" i="16"/>
  <c r="H34" i="16"/>
  <c r="L33" i="16"/>
  <c r="M33" i="16" s="1"/>
  <c r="H33" i="16"/>
  <c r="F33" i="16"/>
  <c r="H32" i="16"/>
  <c r="F32" i="16"/>
  <c r="H31" i="16"/>
  <c r="H35" i="16" s="1"/>
  <c r="F31" i="16"/>
  <c r="F30" i="16"/>
  <c r="D29" i="16"/>
  <c r="D31" i="16"/>
  <c r="B30" i="16"/>
  <c r="L17" i="16"/>
  <c r="L16" i="16"/>
  <c r="H16" i="16"/>
  <c r="L15" i="16"/>
  <c r="H15" i="16"/>
  <c r="F15" i="16"/>
  <c r="L14" i="16"/>
  <c r="M14" i="16" s="1"/>
  <c r="H14" i="16"/>
  <c r="F14" i="16"/>
  <c r="H13" i="16"/>
  <c r="F13" i="16"/>
  <c r="H12" i="16"/>
  <c r="I12" i="16" s="1"/>
  <c r="I13" i="16" s="1"/>
  <c r="F12" i="16"/>
  <c r="D12" i="16"/>
  <c r="F11" i="16"/>
  <c r="P9" i="16"/>
  <c r="D13" i="16"/>
  <c r="I14" i="16" l="1"/>
  <c r="I15" i="16" s="1"/>
  <c r="I16" i="16" s="1"/>
  <c r="F52" i="16"/>
  <c r="F34" i="16"/>
  <c r="F38" i="16" s="1"/>
  <c r="I53" i="16"/>
  <c r="P53" i="16"/>
  <c r="H56" i="16"/>
  <c r="P49" i="16"/>
  <c r="J36" i="16"/>
  <c r="L71" i="16"/>
  <c r="F19" i="16"/>
  <c r="J54" i="16"/>
  <c r="J56" i="16" s="1"/>
  <c r="P50" i="16"/>
  <c r="G48" i="16"/>
  <c r="G49" i="16" s="1"/>
  <c r="G50" i="16" s="1"/>
  <c r="G51" i="16" s="1"/>
  <c r="P48" i="16"/>
  <c r="L72" i="16"/>
  <c r="G30" i="16"/>
  <c r="G31" i="16" s="1"/>
  <c r="G32" i="16" s="1"/>
  <c r="G33" i="16" s="1"/>
  <c r="L19" i="16"/>
  <c r="P17" i="16"/>
  <c r="H19" i="16"/>
  <c r="P16" i="16"/>
  <c r="P15" i="16"/>
  <c r="P12" i="16"/>
  <c r="P13" i="16"/>
  <c r="P35" i="16"/>
  <c r="K51" i="16"/>
  <c r="K52" i="16" s="1"/>
  <c r="K53" i="16" s="1"/>
  <c r="L37" i="16"/>
  <c r="K33" i="16"/>
  <c r="K14" i="16"/>
  <c r="K15" i="16" s="1"/>
  <c r="K16" i="16" s="1"/>
  <c r="K17" i="16" s="1"/>
  <c r="M15" i="16"/>
  <c r="J19" i="16"/>
  <c r="H38" i="16"/>
  <c r="D30" i="16"/>
  <c r="P30" i="16" s="1"/>
  <c r="B28" i="16"/>
  <c r="P28" i="16" s="1"/>
  <c r="I31" i="16"/>
  <c r="M34" i="16"/>
  <c r="M35" i="16" s="1"/>
  <c r="D11" i="16"/>
  <c r="P11" i="16" s="1"/>
  <c r="B19" i="16"/>
  <c r="B29" i="16"/>
  <c r="P29" i="16" s="1"/>
  <c r="C9" i="16"/>
  <c r="C10" i="16" s="1"/>
  <c r="G11" i="16"/>
  <c r="G12" i="16" s="1"/>
  <c r="G13" i="16" s="1"/>
  <c r="G14" i="16" s="1"/>
  <c r="B46" i="16"/>
  <c r="P54" i="16"/>
  <c r="D32" i="16"/>
  <c r="D14" i="16"/>
  <c r="P14" i="16" s="1"/>
  <c r="E29" i="16"/>
  <c r="B31" i="16"/>
  <c r="P31" i="16" s="1"/>
  <c r="D10" i="16"/>
  <c r="P10" i="16" s="1"/>
  <c r="B47" i="16"/>
  <c r="P47" i="16" s="1"/>
  <c r="G52" i="16" l="1"/>
  <c r="F56" i="16"/>
  <c r="P52" i="16"/>
  <c r="G34" i="16"/>
  <c r="L38" i="16"/>
  <c r="N72" i="16"/>
  <c r="L73" i="16"/>
  <c r="L56" i="16"/>
  <c r="P51" i="16"/>
  <c r="P46" i="16"/>
  <c r="P19" i="16"/>
  <c r="M16" i="16"/>
  <c r="I32" i="16"/>
  <c r="K54" i="16"/>
  <c r="R52" i="16"/>
  <c r="P36" i="16"/>
  <c r="K34" i="16"/>
  <c r="M53" i="16"/>
  <c r="M54" i="16" s="1"/>
  <c r="L55" i="16" s="1"/>
  <c r="P55" i="16" s="1"/>
  <c r="E10" i="16"/>
  <c r="E11" i="16" s="1"/>
  <c r="E12" i="16" s="1"/>
  <c r="E13" i="16" s="1"/>
  <c r="E14" i="16" s="1"/>
  <c r="D19" i="16"/>
  <c r="C11" i="16"/>
  <c r="M36" i="16"/>
  <c r="G15" i="16"/>
  <c r="E30" i="16"/>
  <c r="E31" i="16" s="1"/>
  <c r="E32" i="16" s="1"/>
  <c r="C46" i="16"/>
  <c r="C28" i="16"/>
  <c r="L74" i="16" l="1"/>
  <c r="R53" i="16"/>
  <c r="R11" i="16"/>
  <c r="R54" i="16"/>
  <c r="P56" i="16"/>
  <c r="B56" i="16"/>
  <c r="N73" i="16"/>
  <c r="D33" i="16"/>
  <c r="P33" i="16" s="1"/>
  <c r="C47" i="16"/>
  <c r="R47" i="16" s="1"/>
  <c r="R46" i="16"/>
  <c r="P37" i="16"/>
  <c r="N71" i="16"/>
  <c r="P34" i="16"/>
  <c r="C29" i="16"/>
  <c r="R29" i="16" s="1"/>
  <c r="R28" i="16"/>
  <c r="R10" i="16"/>
  <c r="M17" i="16"/>
  <c r="I33" i="16"/>
  <c r="K35" i="16"/>
  <c r="J38" i="16"/>
  <c r="C12" i="16"/>
  <c r="R12" i="16" s="1"/>
  <c r="N74" i="16" l="1"/>
  <c r="N75" i="16" s="1"/>
  <c r="C48" i="16"/>
  <c r="R48" i="16" s="1"/>
  <c r="D38" i="16"/>
  <c r="E33" i="16"/>
  <c r="R33" i="16" s="1"/>
  <c r="C30" i="16"/>
  <c r="R30" i="16" s="1"/>
  <c r="B65" i="16"/>
  <c r="M18" i="16"/>
  <c r="I34" i="16"/>
  <c r="R35" i="16"/>
  <c r="K36" i="16"/>
  <c r="R36" i="16" s="1"/>
  <c r="C13" i="16"/>
  <c r="R13" i="16" s="1"/>
  <c r="C31" i="16" l="1"/>
  <c r="C49" i="16"/>
  <c r="R49" i="16" s="1"/>
  <c r="I35" i="16"/>
  <c r="R34" i="16"/>
  <c r="R31" i="16" l="1"/>
  <c r="B32" i="16"/>
  <c r="C32" i="16"/>
  <c r="R32" i="16" s="1"/>
  <c r="C50" i="16"/>
  <c r="R50" i="16" s="1"/>
  <c r="R51" i="16"/>
  <c r="M23" i="8"/>
  <c r="K23" i="7"/>
  <c r="K17" i="7"/>
  <c r="I25" i="7"/>
  <c r="P32" i="16" l="1"/>
  <c r="P38" i="16" s="1"/>
  <c r="B38" i="16"/>
  <c r="I28" i="7"/>
  <c r="K40" i="7" l="1"/>
  <c r="C26" i="8"/>
  <c r="B26" i="8"/>
  <c r="H20" i="6"/>
  <c r="G20" i="6"/>
  <c r="O40" i="7" l="1"/>
  <c r="M40" i="7"/>
  <c r="G8" i="6"/>
  <c r="G25" i="6" l="1"/>
  <c r="H24" i="6"/>
  <c r="C24" i="8" s="1"/>
  <c r="G38" i="8"/>
  <c r="G42" i="8" s="1"/>
  <c r="C38" i="8"/>
  <c r="H9" i="6" l="1"/>
  <c r="S23" i="7"/>
  <c r="S17" i="7"/>
  <c r="G10" i="6" l="1"/>
  <c r="H10" i="6"/>
  <c r="L23" i="8"/>
  <c r="H30" i="6" l="1"/>
  <c r="H26" i="6"/>
  <c r="H38" i="8" l="1"/>
  <c r="H42" i="8" s="1"/>
  <c r="G44" i="8" s="1"/>
  <c r="D3" i="6"/>
  <c r="A20" i="7"/>
  <c r="G20" i="7"/>
  <c r="M20" i="7"/>
  <c r="O20" i="7"/>
  <c r="Q20" i="7"/>
  <c r="S20" i="7"/>
  <c r="H22" i="8" s="1"/>
  <c r="U20" i="7"/>
  <c r="W20" i="7"/>
  <c r="M10" i="8" s="1"/>
  <c r="K25" i="7"/>
  <c r="S25" i="7"/>
  <c r="G25" i="7"/>
  <c r="M25" i="7"/>
  <c r="O25" i="7"/>
  <c r="Q25" i="7"/>
  <c r="U25" i="7"/>
  <c r="G23" i="6" s="1"/>
  <c r="W25" i="7"/>
  <c r="E43" i="7"/>
  <c r="U28" i="7" l="1"/>
  <c r="G28" i="7"/>
  <c r="K42" i="7"/>
  <c r="K20" i="7"/>
  <c r="B22" i="8" s="1"/>
  <c r="H23" i="6"/>
  <c r="L22" i="8"/>
  <c r="L27" i="8" s="1"/>
  <c r="K41" i="7"/>
  <c r="M41" i="7" s="1"/>
  <c r="K43" i="7"/>
  <c r="O43" i="7" s="1"/>
  <c r="Q28" i="7"/>
  <c r="M28" i="7"/>
  <c r="W28" i="7"/>
  <c r="K39" i="7"/>
  <c r="M39" i="7" s="1"/>
  <c r="G22" i="6" l="1"/>
  <c r="H22" i="6"/>
  <c r="O41" i="7"/>
  <c r="K28" i="7"/>
  <c r="G24" i="8"/>
  <c r="H24" i="8"/>
  <c r="C23" i="8"/>
  <c r="B23" i="8"/>
  <c r="H19" i="6"/>
  <c r="C25" i="8"/>
  <c r="B25" i="8"/>
  <c r="G19" i="6"/>
  <c r="H23" i="8"/>
  <c r="G23" i="8"/>
  <c r="H21" i="6"/>
  <c r="G21" i="6"/>
  <c r="M22" i="8"/>
  <c r="M27" i="8" s="1"/>
  <c r="M29" i="8" s="1"/>
  <c r="G17" i="6"/>
  <c r="H17" i="6"/>
  <c r="M11" i="8" s="1"/>
  <c r="M14" i="8" s="1"/>
  <c r="G18" i="6"/>
  <c r="H18" i="6"/>
  <c r="M43" i="7"/>
  <c r="O39" i="7"/>
  <c r="M42" i="7"/>
  <c r="O42" i="7"/>
  <c r="L11" i="8" l="1"/>
  <c r="L14" i="8" s="1"/>
  <c r="M16" i="8" s="1"/>
  <c r="G31" i="6"/>
  <c r="M44" i="7"/>
  <c r="O44" i="7"/>
  <c r="H31" i="6"/>
  <c r="J31" i="6" s="1"/>
  <c r="H28" i="8"/>
  <c r="G28" i="8"/>
  <c r="C29" i="8"/>
  <c r="B29" i="8"/>
  <c r="L29" i="8"/>
  <c r="L16" i="8"/>
  <c r="M46" i="7" l="1"/>
  <c r="J35" i="6"/>
  <c r="J37" i="6" s="1"/>
  <c r="J38" i="6" s="1"/>
  <c r="O46" i="7"/>
  <c r="H31" i="8"/>
  <c r="B31" i="8"/>
</calcChain>
</file>

<file path=xl/sharedStrings.xml><?xml version="1.0" encoding="utf-8"?>
<sst xmlns="http://schemas.openxmlformats.org/spreadsheetml/2006/main" count="153" uniqueCount="99">
  <si>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</si>
  <si>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</si>
  <si>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</si>
  <si>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</si>
  <si>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</si>
  <si>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</si>
  <si>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</si>
  <si>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</si>
  <si>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</si>
  <si>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</si>
  <si>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</si>
  <si>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</si>
  <si>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</si>
  <si>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</si>
  <si>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</si>
  <si>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</si>
  <si>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</si>
  <si>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</si>
  <si>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</si>
  <si>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</si>
  <si>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</si>
  <si>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</si>
  <si>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</si>
  <si>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</si>
  <si>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</si>
  <si>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Pension expense</t>
  </si>
  <si>
    <t>Change Employer portion</t>
  </si>
  <si>
    <t>Proportionate Share of</t>
  </si>
  <si>
    <t>Collective Deferred Outflows</t>
  </si>
  <si>
    <t>Collective Deferred Inflows</t>
  </si>
  <si>
    <t>Cash to PERSI</t>
  </si>
  <si>
    <t>Contribution Expense</t>
  </si>
  <si>
    <t>1)</t>
  </si>
  <si>
    <t>a)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</si>
  <si>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</si>
  <si>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</si>
  <si>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</si>
  <si>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</si>
  <si>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</si>
  <si>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</si>
  <si>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</si>
  <si>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</si>
  <si>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</si>
  <si>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</si>
  <si>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</si>
  <si>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</si>
  <si>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</si>
  <si>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</si>
  <si>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</si>
  <si>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</si>
  <si>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</si>
  <si>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</si>
  <si>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NPL per allocation report</t>
  </si>
  <si>
    <t>Reclassing 9 months of contributions to better compare pension expense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</si>
  <si>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</si>
  <si>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</si>
  <si>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</si>
  <si>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</si>
  <si>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</si>
  <si>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DOR - Experience</t>
  </si>
  <si>
    <t>Net Pension Liability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</si>
  <si>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</si>
  <si>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</si>
  <si>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</si>
  <si>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</si>
  <si>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</si>
  <si>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</si>
  <si>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</si>
  <si>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</si>
  <si>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</si>
  <si>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</si>
  <si>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</si>
  <si>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</si>
  <si>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</si>
  <si>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</si>
  <si>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t xml:space="preserve">*This should be included as part of your beginning balances and just for </t>
  </si>
  <si>
    <t>your reference only*</t>
  </si>
  <si>
    <t>**Add your proportionate share to amount</t>
  </si>
  <si>
    <t>Deferred Outflow of Resources - Experience</t>
  </si>
  <si>
    <t>Pension expense  per actuary less 9 months contribution exp already recorded by ER</t>
  </si>
  <si>
    <t>Pension Expense</t>
  </si>
  <si>
    <t>Collective Pension Expense</t>
  </si>
  <si>
    <t>Current Year Expense</t>
  </si>
  <si>
    <t>Plan Pension Expense (Expense Offset)</t>
  </si>
  <si>
    <t>Change in DIR per allocation report</t>
  </si>
  <si>
    <t>FY22</t>
  </si>
  <si>
    <t>June 30, 2021 Net Pension Liability/(Asset)</t>
  </si>
  <si>
    <t>Difference</t>
  </si>
  <si>
    <t>From Input Sheet</t>
  </si>
  <si>
    <t>FY23</t>
  </si>
  <si>
    <t>FY22 Data</t>
  </si>
  <si>
    <t>FY23 Cumulative Data</t>
  </si>
  <si>
    <t>T-Account Illustration for Employers with 9/30/23 FYE</t>
  </si>
  <si>
    <t>Using 6/30/23 as the Measurement Date</t>
  </si>
  <si>
    <t>DOR - Investments</t>
  </si>
  <si>
    <t>Sept 30, 2023 Contributions from July 1 to Employers Fiscal Year End</t>
  </si>
  <si>
    <t>Sept 30, 2023 Entry</t>
  </si>
  <si>
    <r>
      <t>Represent contributions from July 1, 2023 to employer year end Sept 30, 2023 - ER contributions 7/1/23-9/30/23 the amount here is just for illustration purposes (</t>
    </r>
    <r>
      <rPr>
        <sz val="11"/>
        <color rgb="FFFF0000"/>
        <rFont val="Times New Roman"/>
        <family val="1"/>
      </rPr>
      <t>Input your number that you used last year if it is different</t>
    </r>
    <r>
      <rPr>
        <sz val="11"/>
        <rFont val="Times New Roman"/>
        <family val="2"/>
      </rPr>
      <t>)</t>
    </r>
  </si>
  <si>
    <t>4.4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</si>
</sst>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36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b/>
      <sz val="12"/>
      <color indexed="10"/>
      <name val="Times New Roman"/>
      <family val="1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8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52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164" fontId="0" fillId="0" borderId="0" xfId="0" applyNumberFormat="1" applyAlignment="1">
      <alignment horizontal="right"/>
    </xf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1" fontId="0" fillId="0" borderId="0" xfId="0" applyNumberFormat="1"/>
    <xf numFmtId="42" fontId="0" fillId="0" borderId="0" xfId="0" applyNumberFormat="1"/>
    <xf numFmtId="165" fontId="87" fillId="0" borderId="0" xfId="784" applyNumberFormat="1" applyFont="1" applyBorder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164" fontId="0" fillId="0" borderId="20" xfId="0" applyNumberFormat="1" applyBorder="1" applyAlignment="1">
      <alignment horizontal="right"/>
    </xf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102" fillId="0" borderId="20" xfId="0" applyFont="1" applyBorder="1"/>
    <xf numFmtId="0" fontId="102" fillId="0" borderId="0" xfId="0" applyFont="1" applyAlignment="1">
      <alignment horizontal="center"/>
    </xf>
    <xf numFmtId="0" fontId="102" fillId="0" borderId="0" xfId="0" applyFont="1"/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/>
    <xf numFmtId="9" fontId="100" fillId="0" borderId="0" xfId="2336" applyFont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0" fontId="91" fillId="0" borderId="0" xfId="0" applyFont="1" applyAlignment="1">
      <alignment wrapText="1"/>
    </xf>
    <xf numFmtId="165" fontId="100" fillId="0" borderId="0" xfId="729" applyNumberFormat="1" applyFont="1" applyFill="1"/>
    <xf numFmtId="0" fontId="103" fillId="0" borderId="0" xfId="0" applyFont="1" applyAlignment="1">
      <alignment horizontal="center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165" fontId="106" fillId="0" borderId="0" xfId="729" applyNumberFormat="1" applyFont="1"/>
    <xf numFmtId="0" fontId="0" fillId="79" borderId="0" xfId="0" applyFill="1"/>
    <xf numFmtId="165" fontId="106" fillId="0" borderId="0" xfId="809" applyNumberFormat="1" applyFont="1" applyBorder="1"/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4" fontId="106" fillId="0" borderId="24" xfId="1115" applyFont="1" applyBorder="1"/>
    <xf numFmtId="42" fontId="95" fillId="0" borderId="31" xfId="845" applyNumberFormat="1" applyFont="1" applyBorder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0" fontId="133" fillId="0" borderId="20" xfId="0" applyFont="1" applyBorder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0" fillId="0" borderId="0" xfId="0" applyNumberFormat="1" applyAlignment="1">
      <alignment horizontal="right"/>
    </xf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0" fontId="132" fillId="0" borderId="0" xfId="0" applyFont="1" applyAlignment="1">
      <alignment wrapText="1"/>
    </xf>
    <xf numFmtId="165" fontId="131" fillId="80" borderId="0" xfId="0" applyNumberFormat="1" applyFont="1" applyFill="1"/>
    <xf numFmtId="0" fontId="135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1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0" borderId="0" xfId="0" applyNumberFormat="1" applyFill="1"/>
    <xf numFmtId="165" fontId="0" fillId="82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0" borderId="20" xfId="0" applyNumberFormat="1" applyBorder="1"/>
    <xf numFmtId="43" fontId="0" fillId="0" borderId="0" xfId="2755" applyFont="1" applyBorder="1"/>
    <xf numFmtId="165" fontId="0" fillId="81" borderId="0" xfId="2755" applyNumberFormat="1" applyFont="1" applyFill="1"/>
    <xf numFmtId="43" fontId="0" fillId="0" borderId="0" xfId="2755" applyFont="1" applyFill="1" applyBorder="1"/>
    <xf numFmtId="165" fontId="0" fillId="81" borderId="0" xfId="2755" applyNumberFormat="1" applyFont="1" applyFill="1" applyAlignment="1">
      <alignment horizontal="right"/>
    </xf>
    <xf numFmtId="165" fontId="131" fillId="82" borderId="0" xfId="0" applyNumberFormat="1" applyFont="1" applyFill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131" fillId="80" borderId="0" xfId="0" applyFont="1" applyFill="1" applyAlignment="1">
      <alignment horizontal="center" wrapText="1"/>
    </xf>
    <xf numFmtId="42" fontId="95" fillId="0" borderId="0" xfId="784" applyNumberFormat="1" applyFont="1" applyBorder="1"/>
    <xf numFmtId="165" fontId="100" fillId="0" borderId="0" xfId="729" applyNumberFormat="1" applyFont="1" applyFill="1" applyAlignment="1">
      <alignment horizontal="right"/>
    </xf>
    <xf numFmtId="164" fontId="129" fillId="0" borderId="0" xfId="0" applyNumberFormat="1" applyFont="1"/>
    <xf numFmtId="164" fontId="106" fillId="0" borderId="0" xfId="1115" applyNumberFormat="1" applyFont="1" applyFill="1" applyBorder="1"/>
    <xf numFmtId="165" fontId="98" fillId="0" borderId="17" xfId="729" applyNumberFormat="1" applyFont="1" applyBorder="1"/>
    <xf numFmtId="165" fontId="132" fillId="0" borderId="0" xfId="2755" applyNumberFormat="1" applyFont="1" applyFill="1"/>
    <xf numFmtId="165" fontId="0" fillId="0" borderId="0" xfId="729" applyNumberFormat="1" applyFont="1" applyBorder="1"/>
    <xf numFmtId="165" fontId="106" fillId="0" borderId="0" xfId="729" applyNumberFormat="1" applyFont="1" applyBorder="1"/>
    <xf numFmtId="0" fontId="131" fillId="82" borderId="20" xfId="0" applyFont="1" applyFill="1" applyBorder="1" applyAlignment="1">
      <alignment horizontal="center" wrapText="1"/>
    </xf>
    <xf numFmtId="165" fontId="132" fillId="0" borderId="0" xfId="2755" applyNumberFormat="1" applyFont="1"/>
    <xf numFmtId="0" fontId="0" fillId="80" borderId="0" xfId="0" applyFill="1" applyAlignment="1">
      <alignment horizontal="center" wrapText="1"/>
    </xf>
    <xf numFmtId="165" fontId="0" fillId="0" borderId="20" xfId="2755" applyNumberFormat="1" applyFont="1" applyFill="1" applyBorder="1"/>
    <xf numFmtId="165" fontId="0" fillId="0" borderId="48" xfId="2755" applyNumberFormat="1" applyFont="1" applyBorder="1"/>
    <xf numFmtId="165" fontId="0" fillId="0" borderId="48" xfId="0" applyNumberFormat="1" applyBorder="1"/>
    <xf numFmtId="43" fontId="0" fillId="0" borderId="0" xfId="729" applyFont="1"/>
    <xf numFmtId="165" fontId="129" fillId="0" borderId="0" xfId="729" applyNumberFormat="1" applyFont="1" applyFill="1" applyBorder="1"/>
    <xf numFmtId="41" fontId="99" fillId="81" borderId="0" xfId="1731" applyNumberFormat="1" applyFont="1" applyFill="1"/>
    <xf numFmtId="191" fontId="99" fillId="81" borderId="0" xfId="2358" applyNumberFormat="1" applyFont="1" applyFill="1" applyBorder="1"/>
    <xf numFmtId="165" fontId="106" fillId="0" borderId="0" xfId="809" applyNumberFormat="1" applyFont="1" applyFill="1" applyBorder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97" fillId="0" borderId="50" xfId="0" applyFont="1" applyBorder="1" applyAlignment="1">
      <alignment horizontal="center"/>
    </xf>
    <xf numFmtId="0" fontId="97" fillId="0" borderId="51" xfId="0" applyFont="1" applyBorder="1" applyAlignment="1">
      <alignment horizontal="center"/>
    </xf>
    <xf numFmtId="0" fontId="97" fillId="0" borderId="52" xfId="0" applyFont="1" applyBorder="1" applyAlignment="1">
      <alignment horizontal="center"/>
    </xf>
    <xf numFmtId="0" fontId="103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30" fillId="0" borderId="0" xfId="0" applyFont="1" applyAlignment="1">
      <alignment horizontal="center"/>
    </xf>
    <xf numFmtId="0" fontId="0" fillId="0" borderId="29" xfId="0" applyFill="1" applyBorder="1"/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266700</xdr:colOff>
      <xdr:row>14</xdr:row>
      <xdr:rowOff>0</xdr:rowOff>
    </xdr:from>
    <xdr:to>
      <xdr:col>17</xdr:col>
      <xdr:colOff>85724</xdr:colOff>
      <xdr:row>16</xdr:row>
      <xdr:rowOff>171451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9867900" y="28575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topLeftCell="A24" workbookViewId="0">
      <selection activeCell="U42" sqref="U42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6.42578125" customWidth="1"/>
    <col min="6" max="6" width="4" customWidth="1"/>
    <col min="7" max="7" width="13.42578125" bestFit="1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4.85546875" bestFit="1" customWidth="1"/>
    <col min="22" max="22" width="2.42578125" customWidth="1"/>
    <col min="23" max="23" width="13.42578125" customWidth="1"/>
    <col min="24" max="24" width="14.140625" bestFit="1" customWidth="1"/>
  </cols>
  <sheetData>
    <row r="1" spans="1:23" ht="36" customHeight="1">
      <c r="A1" s="142" t="s">
        <v>43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3" spans="1:23">
      <c r="A3" s="25" t="s">
        <v>18</v>
      </c>
    </row>
    <row r="4" spans="1:23">
      <c r="A4" s="25"/>
    </row>
    <row r="5" spans="1:23">
      <c r="A5" s="25"/>
      <c r="I5" s="21" t="s">
        <v>89</v>
      </c>
      <c r="K5" s="21" t="s">
        <v>89</v>
      </c>
      <c r="M5" s="21" t="s">
        <v>85</v>
      </c>
      <c r="O5" s="21" t="s">
        <v>85</v>
      </c>
    </row>
    <row r="6" spans="1:23">
      <c r="I6" s="21" t="s">
        <v>11</v>
      </c>
      <c r="K6" s="59" t="s">
        <v>12</v>
      </c>
      <c r="M6" s="21" t="s">
        <v>11</v>
      </c>
      <c r="O6" s="59" t="s">
        <v>12</v>
      </c>
    </row>
    <row r="7" spans="1:23">
      <c r="I7" s="21" t="s">
        <v>12</v>
      </c>
      <c r="K7" s="59" t="s">
        <v>13</v>
      </c>
      <c r="M7" s="21" t="s">
        <v>12</v>
      </c>
      <c r="O7" s="59" t="s">
        <v>13</v>
      </c>
    </row>
    <row r="8" spans="1:23">
      <c r="A8" s="21" t="s">
        <v>12</v>
      </c>
      <c r="B8" s="21"/>
      <c r="C8" s="21"/>
      <c r="D8" s="21"/>
      <c r="E8" s="21"/>
      <c r="F8" s="21"/>
      <c r="G8" s="21"/>
      <c r="H8" s="20"/>
      <c r="I8" s="21" t="s">
        <v>9</v>
      </c>
      <c r="K8" s="59" t="s">
        <v>14</v>
      </c>
      <c r="M8" s="21" t="s">
        <v>9</v>
      </c>
      <c r="O8" s="59" t="s">
        <v>14</v>
      </c>
    </row>
    <row r="9" spans="1:23">
      <c r="A9" s="26" t="s">
        <v>16</v>
      </c>
      <c r="I9" s="136">
        <v>18544979</v>
      </c>
      <c r="K9" s="137">
        <v>3.6528986399999998E-2</v>
      </c>
      <c r="M9" s="136">
        <v>15814056</v>
      </c>
      <c r="O9" s="137">
        <v>3.3586385699999999E-2</v>
      </c>
    </row>
    <row r="10" spans="1:23">
      <c r="A10" s="26"/>
      <c r="I10" s="27"/>
      <c r="K10" s="28"/>
    </row>
    <row r="11" spans="1:23">
      <c r="A11" s="26"/>
      <c r="I11" s="27"/>
      <c r="K11" s="28"/>
    </row>
    <row r="12" spans="1:23">
      <c r="A12" s="26"/>
      <c r="I12" s="27"/>
      <c r="K12" s="28"/>
    </row>
    <row r="13" spans="1:23" ht="15.75" thickBot="1">
      <c r="A13" s="25" t="s">
        <v>19</v>
      </c>
    </row>
    <row r="14" spans="1:23" ht="15.75" thickBot="1">
      <c r="A14" s="34"/>
      <c r="B14" s="35"/>
      <c r="C14" s="36"/>
      <c r="D14" s="36"/>
      <c r="E14" s="143" t="s">
        <v>2</v>
      </c>
      <c r="F14" s="144"/>
      <c r="G14" s="144"/>
      <c r="H14" s="144"/>
      <c r="I14" s="144"/>
      <c r="J14" s="144"/>
      <c r="K14" s="145"/>
      <c r="L14" s="37"/>
      <c r="M14" s="139" t="s">
        <v>3</v>
      </c>
      <c r="N14" s="140"/>
      <c r="O14" s="140"/>
      <c r="P14" s="140"/>
      <c r="Q14" s="140"/>
      <c r="R14" s="140"/>
      <c r="S14" s="141"/>
      <c r="T14" s="36"/>
      <c r="U14" s="36"/>
      <c r="V14" s="36"/>
      <c r="W14" s="38"/>
    </row>
    <row r="15" spans="1:23" ht="18" customHeight="1">
      <c r="A15" s="39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40"/>
    </row>
    <row r="16" spans="1:23" ht="90" customHeight="1">
      <c r="A16" s="39"/>
      <c r="C16" s="15"/>
      <c r="D16" s="7"/>
      <c r="E16" s="15" t="s">
        <v>7</v>
      </c>
      <c r="F16" s="7"/>
      <c r="G16" s="22" t="s">
        <v>5</v>
      </c>
      <c r="H16" s="15"/>
      <c r="I16" s="15" t="s">
        <v>4</v>
      </c>
      <c r="J16" s="15"/>
      <c r="K16" s="22" t="s">
        <v>6</v>
      </c>
      <c r="L16" s="7"/>
      <c r="M16" s="22" t="s">
        <v>7</v>
      </c>
      <c r="N16" s="7"/>
      <c r="O16" s="22" t="s">
        <v>5</v>
      </c>
      <c r="P16" s="7"/>
      <c r="Q16" s="22" t="s">
        <v>4</v>
      </c>
      <c r="R16" s="7"/>
      <c r="S16" s="22" t="s">
        <v>8</v>
      </c>
      <c r="T16" s="7"/>
      <c r="U16" s="22" t="s">
        <v>83</v>
      </c>
      <c r="V16" s="22"/>
      <c r="W16" s="41" t="s">
        <v>86</v>
      </c>
    </row>
    <row r="17" spans="1:26" ht="15.75" thickBot="1">
      <c r="A17" s="39" t="s">
        <v>90</v>
      </c>
      <c r="C17" s="120"/>
      <c r="D17" s="7"/>
      <c r="E17" s="71">
        <v>906261627</v>
      </c>
      <c r="G17" s="70">
        <v>642135647</v>
      </c>
      <c r="H17" s="123"/>
      <c r="I17" s="70">
        <v>433119600</v>
      </c>
      <c r="K17" s="31">
        <f>SUM(E17:I17)</f>
        <v>1981516874</v>
      </c>
      <c r="M17" s="71">
        <v>0</v>
      </c>
      <c r="O17" s="72">
        <v>0</v>
      </c>
      <c r="Q17" s="70">
        <v>17580028</v>
      </c>
      <c r="S17" s="31">
        <f>SUM(M17:Q17)</f>
        <v>17580028</v>
      </c>
      <c r="U17" s="31">
        <v>1021030804</v>
      </c>
      <c r="V17" s="17"/>
      <c r="W17" s="73">
        <v>3938758060</v>
      </c>
    </row>
    <row r="18" spans="1:26" ht="15.75" thickTop="1">
      <c r="A18" s="39"/>
      <c r="C18" s="14"/>
      <c r="E18" s="14"/>
      <c r="F18" s="14"/>
      <c r="G18" s="14"/>
      <c r="H18" s="14"/>
      <c r="I18" s="14"/>
      <c r="K18" s="16"/>
      <c r="M18" s="14"/>
      <c r="S18" s="16"/>
      <c r="U18" s="16"/>
      <c r="V18" s="16"/>
      <c r="W18" s="40"/>
    </row>
    <row r="19" spans="1:26">
      <c r="A19" s="39"/>
      <c r="D19" s="18"/>
      <c r="U19" s="13"/>
      <c r="V19" s="13"/>
      <c r="W19" s="40"/>
    </row>
    <row r="20" spans="1:26">
      <c r="A20" s="42" t="str">
        <f>A9</f>
        <v>Employer A</v>
      </c>
      <c r="B20" s="24" t="s">
        <v>17</v>
      </c>
      <c r="C20" s="17"/>
      <c r="D20" s="17"/>
      <c r="E20" s="17">
        <f>ROUND((E17*$O$9),0)</f>
        <v>30438053</v>
      </c>
      <c r="F20" s="17"/>
      <c r="G20" s="17">
        <f>ROUND((G17*$O$9),0)</f>
        <v>21567016</v>
      </c>
      <c r="H20" s="17"/>
      <c r="I20" s="17">
        <f>ROUND((I17*$O$9),0)</f>
        <v>14546922</v>
      </c>
      <c r="J20" s="17"/>
      <c r="K20" s="17">
        <f>SUM(E20:I20)</f>
        <v>66551991</v>
      </c>
      <c r="L20" s="17"/>
      <c r="M20" s="17">
        <f>ROUND((M17*$O$9),0)</f>
        <v>0</v>
      </c>
      <c r="N20" s="17"/>
      <c r="O20" s="17">
        <f>ROUND((O17*$O$9),0)</f>
        <v>0</v>
      </c>
      <c r="P20" s="17"/>
      <c r="Q20" s="17">
        <f>ROUND((Q17*$O$9),0)</f>
        <v>590450</v>
      </c>
      <c r="R20" s="17"/>
      <c r="S20" s="17">
        <f>ROUND((S17*$O$9),0)</f>
        <v>590450</v>
      </c>
      <c r="T20" s="17"/>
      <c r="U20" s="17">
        <f>ROUND((U17*$O$9),0)</f>
        <v>34292734</v>
      </c>
      <c r="V20" s="17"/>
      <c r="W20" s="43">
        <f>ROUND((W17*$O$9),0)</f>
        <v>132288647</v>
      </c>
    </row>
    <row r="21" spans="1:26">
      <c r="A21" s="39"/>
      <c r="U21" s="17"/>
      <c r="V21" s="17"/>
      <c r="W21" s="40"/>
    </row>
    <row r="22" spans="1:26">
      <c r="A22" s="39"/>
      <c r="C22" s="15"/>
      <c r="G22" s="30"/>
      <c r="H22" s="30"/>
      <c r="I22" s="30"/>
      <c r="K22" s="29"/>
      <c r="U22" s="17"/>
      <c r="V22" s="17"/>
      <c r="W22" s="40"/>
    </row>
    <row r="23" spans="1:26" ht="15.75" thickBot="1">
      <c r="A23" s="39" t="s">
        <v>91</v>
      </c>
      <c r="C23" s="13"/>
      <c r="E23" s="70">
        <v>374583135</v>
      </c>
      <c r="G23" s="70">
        <v>395160399</v>
      </c>
      <c r="H23" s="123"/>
      <c r="I23" s="70">
        <v>684031178</v>
      </c>
      <c r="K23" s="31">
        <f>SUM(E23:I23)</f>
        <v>1453774712</v>
      </c>
      <c r="M23" s="70">
        <v>0</v>
      </c>
      <c r="O23" s="72">
        <v>0</v>
      </c>
      <c r="Q23" s="70">
        <v>0</v>
      </c>
      <c r="S23" s="31">
        <f>SUM(M23:Q23)</f>
        <v>0</v>
      </c>
      <c r="U23" s="31">
        <v>1069753081</v>
      </c>
      <c r="V23" s="17"/>
      <c r="W23" s="73">
        <v>3990670563</v>
      </c>
      <c r="Z23" s="13"/>
    </row>
    <row r="24" spans="1:26" ht="15.75" thickTop="1">
      <c r="A24" s="39"/>
      <c r="U24" s="17"/>
      <c r="V24" s="17"/>
      <c r="W24" s="40"/>
    </row>
    <row r="25" spans="1:26">
      <c r="A25" s="42" t="s">
        <v>51</v>
      </c>
      <c r="B25" s="24"/>
      <c r="C25" s="17"/>
      <c r="E25" s="17">
        <f>ROUND((E23*$K$9),0)</f>
        <v>13683142</v>
      </c>
      <c r="G25" s="17">
        <f>ROUND((G23*$K$9),0)</f>
        <v>14434809</v>
      </c>
      <c r="H25" s="17"/>
      <c r="I25" s="17">
        <f>ROUND((I23*$K$9),0)</f>
        <v>24986966</v>
      </c>
      <c r="K25" s="17">
        <f>ROUND((K23*$K$9),0)</f>
        <v>53104917</v>
      </c>
      <c r="M25" s="17">
        <f>ROUND((M23*$K$9),0)</f>
        <v>0</v>
      </c>
      <c r="O25" s="17">
        <f>ROUND((O23*$K$9),0)</f>
        <v>0</v>
      </c>
      <c r="Q25" s="17">
        <f>ROUND((Q23*$K$9),0)</f>
        <v>0</v>
      </c>
      <c r="S25" s="17">
        <f>ROUND((S23*$K$9),0)</f>
        <v>0</v>
      </c>
      <c r="U25" s="17">
        <f>ROUND((U23*$K$9),0)</f>
        <v>39076996</v>
      </c>
      <c r="V25" s="17"/>
      <c r="W25" s="43">
        <f>ROUND((W23*$K$9),0)</f>
        <v>145775151</v>
      </c>
    </row>
    <row r="26" spans="1:26">
      <c r="A26" s="39"/>
      <c r="U26" s="17"/>
      <c r="V26" s="17"/>
      <c r="W26" s="40"/>
    </row>
    <row r="27" spans="1:26">
      <c r="A27" s="39"/>
      <c r="U27" s="17"/>
      <c r="V27" s="17"/>
      <c r="W27" s="44"/>
    </row>
    <row r="28" spans="1:26">
      <c r="A28" s="39" t="s">
        <v>26</v>
      </c>
      <c r="E28" s="17">
        <f>E25-E20</f>
        <v>-16754911</v>
      </c>
      <c r="G28" s="17">
        <f>G25-G20</f>
        <v>-7132207</v>
      </c>
      <c r="H28" s="17"/>
      <c r="I28" s="17">
        <f t="shared" ref="I28" si="0">I25-I20</f>
        <v>10440044</v>
      </c>
      <c r="K28" s="17">
        <f>K25-K20</f>
        <v>-13447074</v>
      </c>
      <c r="M28" s="17">
        <f>M25-M20</f>
        <v>0</v>
      </c>
      <c r="Q28" s="17">
        <f>Q25-Q20</f>
        <v>-590450</v>
      </c>
      <c r="S28" s="17"/>
      <c r="U28" s="17">
        <f>U25-U20</f>
        <v>4784262</v>
      </c>
      <c r="V28" s="17"/>
      <c r="W28" s="43">
        <f>+W25-W20</f>
        <v>13486504</v>
      </c>
    </row>
    <row r="29" spans="1:26">
      <c r="A29" s="39"/>
      <c r="U29" s="17"/>
      <c r="V29" s="17"/>
      <c r="W29" s="40"/>
    </row>
    <row r="30" spans="1:26" ht="15.75" thickBot="1">
      <c r="A30" s="45"/>
      <c r="B30" s="46"/>
      <c r="C30" s="46"/>
      <c r="D30" s="46"/>
      <c r="E30" s="46"/>
      <c r="F30" s="46"/>
      <c r="G30" s="64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/>
    </row>
    <row r="33" spans="1:21" ht="15.75" thickBot="1">
      <c r="A33" s="25" t="s">
        <v>54</v>
      </c>
    </row>
    <row r="34" spans="1:21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8"/>
    </row>
    <row r="35" spans="1:21">
      <c r="A35" s="39"/>
      <c r="E35" s="21" t="s">
        <v>85</v>
      </c>
      <c r="G35" s="21" t="s">
        <v>85</v>
      </c>
      <c r="I35" s="21" t="s">
        <v>89</v>
      </c>
      <c r="Q35" s="40"/>
    </row>
    <row r="36" spans="1:21">
      <c r="A36" s="39"/>
      <c r="E36" s="63" t="s">
        <v>38</v>
      </c>
      <c r="G36" s="63" t="s">
        <v>14</v>
      </c>
      <c r="I36" s="63" t="s">
        <v>14</v>
      </c>
      <c r="Q36" s="40"/>
    </row>
    <row r="37" spans="1:21">
      <c r="A37" s="39"/>
      <c r="E37" s="63" t="s">
        <v>39</v>
      </c>
      <c r="G37" s="63" t="s">
        <v>40</v>
      </c>
      <c r="I37" s="63" t="s">
        <v>40</v>
      </c>
      <c r="K37" s="63" t="s">
        <v>41</v>
      </c>
      <c r="M37" s="63" t="s">
        <v>42</v>
      </c>
      <c r="O37" s="63" t="s">
        <v>1</v>
      </c>
      <c r="Q37" s="65" t="s">
        <v>45</v>
      </c>
    </row>
    <row r="38" spans="1:21">
      <c r="A38" s="39"/>
      <c r="C38" s="4" t="s">
        <v>94</v>
      </c>
      <c r="E38" s="53">
        <f>+E17-M17</f>
        <v>906261627</v>
      </c>
      <c r="G38" s="53">
        <f>E38*$O$9</f>
        <v>30438052.549531534</v>
      </c>
      <c r="I38" s="53">
        <f>E38*$K$9</f>
        <v>33104818.647524871</v>
      </c>
      <c r="K38" s="53">
        <f t="shared" ref="K38:K43" si="1">I38-G38</f>
        <v>2666766.0979933366</v>
      </c>
      <c r="M38" s="69">
        <f>IF(K38&gt;0,K38,)</f>
        <v>2666766.0979933366</v>
      </c>
      <c r="N38" s="69"/>
      <c r="O38" s="69">
        <f>IF(K38&lt;0,-K38,)</f>
        <v>0</v>
      </c>
      <c r="Q38" s="40"/>
    </row>
    <row r="39" spans="1:21">
      <c r="A39" s="39"/>
      <c r="C39" s="4" t="s">
        <v>22</v>
      </c>
      <c r="E39" s="53">
        <f>G17</f>
        <v>642135647</v>
      </c>
      <c r="G39" s="53">
        <f>E39*$O$9</f>
        <v>21567015.511861049</v>
      </c>
      <c r="H39" s="53"/>
      <c r="I39" s="53">
        <f t="shared" ref="I39:I42" si="2">E39*$K$9</f>
        <v>23456564.316218201</v>
      </c>
      <c r="J39" s="53"/>
      <c r="K39" s="53">
        <f t="shared" si="1"/>
        <v>1889548.8043571524</v>
      </c>
      <c r="L39" s="53"/>
      <c r="M39" s="69">
        <f>IF(K39&gt;0,K39,)</f>
        <v>1889548.8043571524</v>
      </c>
      <c r="N39" s="69"/>
      <c r="O39" s="69">
        <f>IF(K39&lt;0,-K39,)</f>
        <v>0</v>
      </c>
      <c r="Q39" s="40"/>
      <c r="S39" s="134"/>
      <c r="U39" s="33"/>
    </row>
    <row r="40" spans="1:21">
      <c r="A40" s="39"/>
      <c r="C40" s="4" t="s">
        <v>59</v>
      </c>
      <c r="E40" s="53">
        <f>I17</f>
        <v>433119600</v>
      </c>
      <c r="F40" s="126"/>
      <c r="G40" s="53">
        <f t="shared" ref="G40:G42" si="3">E40*$O$9</f>
        <v>14546921.93982972</v>
      </c>
      <c r="H40" s="53"/>
      <c r="I40" s="53">
        <f t="shared" si="2"/>
        <v>15821419.977973439</v>
      </c>
      <c r="J40" s="53"/>
      <c r="K40" s="53">
        <f t="shared" si="1"/>
        <v>1274498.0381437186</v>
      </c>
      <c r="L40" s="53"/>
      <c r="M40" s="127">
        <f>IF(K40&gt;0,K40,)</f>
        <v>1274498.0381437186</v>
      </c>
      <c r="N40" s="127"/>
      <c r="O40" s="127">
        <f>IF(K40&lt;0,-K40,)</f>
        <v>0</v>
      </c>
      <c r="Q40" s="40"/>
      <c r="S40" s="134"/>
      <c r="U40" s="33"/>
    </row>
    <row r="41" spans="1:21">
      <c r="A41" s="39"/>
      <c r="C41" s="4" t="s">
        <v>36</v>
      </c>
      <c r="E41" s="53">
        <f>+M17</f>
        <v>0</v>
      </c>
      <c r="G41" s="53">
        <f t="shared" si="3"/>
        <v>0</v>
      </c>
      <c r="H41" s="53"/>
      <c r="I41" s="53">
        <f t="shared" si="2"/>
        <v>0</v>
      </c>
      <c r="J41" s="53"/>
      <c r="K41" s="53">
        <f t="shared" si="1"/>
        <v>0</v>
      </c>
      <c r="L41" s="53"/>
      <c r="M41" s="69">
        <f>IF(K41&gt;0,K41,)</f>
        <v>0</v>
      </c>
      <c r="N41" s="69"/>
      <c r="O41" s="69">
        <f>IF(K41&lt;0,-K41,)</f>
        <v>0</v>
      </c>
      <c r="Q41" s="40"/>
      <c r="S41" s="134"/>
      <c r="U41" s="33"/>
    </row>
    <row r="42" spans="1:21">
      <c r="A42" s="39"/>
      <c r="C42" s="4" t="s">
        <v>37</v>
      </c>
      <c r="E42" s="53">
        <f>Q17</f>
        <v>17580028</v>
      </c>
      <c r="G42" s="53">
        <f t="shared" si="3"/>
        <v>590449.60102479963</v>
      </c>
      <c r="H42" s="53"/>
      <c r="I42" s="53">
        <f t="shared" si="2"/>
        <v>642180.60372361913</v>
      </c>
      <c r="J42" s="53"/>
      <c r="K42" s="53">
        <f t="shared" si="1"/>
        <v>51731.002698819502</v>
      </c>
      <c r="L42" s="53"/>
      <c r="M42" s="69">
        <f>IF(K42&lt;0,-K42,)</f>
        <v>0</v>
      </c>
      <c r="N42" s="69"/>
      <c r="O42" s="69">
        <f>IF(K42&gt;0,K42,)</f>
        <v>51731.002698819502</v>
      </c>
      <c r="Q42" s="40"/>
      <c r="S42" s="134"/>
      <c r="U42" s="33"/>
    </row>
    <row r="43" spans="1:21">
      <c r="A43" s="39"/>
      <c r="C43" s="4" t="s">
        <v>60</v>
      </c>
      <c r="E43" s="53">
        <f>W17</f>
        <v>3938758060</v>
      </c>
      <c r="G43" s="53">
        <f>E43*$O$9</f>
        <v>132288647.38214374</v>
      </c>
      <c r="H43" s="53"/>
      <c r="I43" s="53">
        <f>E43*$K$9</f>
        <v>143878839.60663038</v>
      </c>
      <c r="J43" s="53"/>
      <c r="K43" s="53">
        <f t="shared" si="1"/>
        <v>11590192.224486649</v>
      </c>
      <c r="L43" s="53"/>
      <c r="M43" s="69">
        <f>IF(K43&lt;0,-K43,)</f>
        <v>0</v>
      </c>
      <c r="N43" s="69"/>
      <c r="O43" s="69">
        <f>IF(K43&gt;0,K43,)</f>
        <v>11590192.224486649</v>
      </c>
      <c r="Q43" s="40"/>
      <c r="S43" s="134"/>
      <c r="U43" s="33"/>
    </row>
    <row r="44" spans="1:21">
      <c r="A44" s="39"/>
      <c r="C44" s="4" t="s">
        <v>35</v>
      </c>
      <c r="G44" s="53"/>
      <c r="H44" s="53"/>
      <c r="I44" s="53"/>
      <c r="J44" s="53"/>
      <c r="K44" s="53"/>
      <c r="L44" s="53"/>
      <c r="M44" s="138">
        <f>IF(SUM(M38:M43)-SUM(O38:O43)&lt;0,-(SUM(M38:M43)-SUM(O38:O43)),0)</f>
        <v>5811110.2866912615</v>
      </c>
      <c r="N44" s="138"/>
      <c r="O44" s="138">
        <f>IF(SUM(M38:M43)-SUM(O38:O43)&gt;0,SUM(M38:M43)-SUM(O38:O43),0)</f>
        <v>0</v>
      </c>
      <c r="Q44" s="151" t="s">
        <v>98</v>
      </c>
    </row>
    <row r="45" spans="1:21">
      <c r="A45" s="39"/>
      <c r="Q45" s="40"/>
    </row>
    <row r="46" spans="1:21" ht="15.75" thickBot="1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66">
        <f>SUM(M38:M44)</f>
        <v>11641923.227185469</v>
      </c>
      <c r="N46" s="46"/>
      <c r="O46" s="66">
        <f>SUM(O38:O44)</f>
        <v>11641923.227185469</v>
      </c>
      <c r="P46" s="46"/>
      <c r="Q46" s="47"/>
    </row>
  </sheetData>
  <mergeCells count="3">
    <mergeCell ref="M14:S14"/>
    <mergeCell ref="A1:Q1"/>
    <mergeCell ref="E14:K14"/>
  </mergeCells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S38"/>
  <sheetViews>
    <sheetView topLeftCell="A4" zoomScale="80" zoomScaleNormal="80" workbookViewId="0">
      <selection activeCell="H24" sqref="H24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20.85546875" customWidth="1"/>
    <col min="13" max="13" width="5.140625" customWidth="1"/>
    <col min="14" max="14" width="5.85546875" customWidth="1"/>
    <col min="15" max="15" width="8.5703125" customWidth="1"/>
    <col min="16" max="16" width="13" bestFit="1" customWidth="1"/>
    <col min="17" max="17" width="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9">
      <c r="A1" s="142" t="s">
        <v>44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3" spans="1:19">
      <c r="B3" s="1" t="s">
        <v>15</v>
      </c>
      <c r="C3" s="3"/>
      <c r="D3" s="23" t="str">
        <f>Input!A9</f>
        <v>Employer A</v>
      </c>
    </row>
    <row r="4" spans="1:19">
      <c r="B4" s="9"/>
      <c r="D4" s="25"/>
    </row>
    <row r="5" spans="1:19">
      <c r="B5" s="9"/>
      <c r="D5" s="25"/>
    </row>
    <row r="6" spans="1:19" ht="15.75">
      <c r="B6" s="77" t="s">
        <v>95</v>
      </c>
      <c r="C6" s="3"/>
      <c r="D6" s="23"/>
      <c r="E6" s="3"/>
      <c r="F6" s="3"/>
      <c r="G6" s="3"/>
      <c r="H6" s="3"/>
    </row>
    <row r="7" spans="1:19">
      <c r="B7" s="9"/>
      <c r="D7" s="25"/>
    </row>
    <row r="8" spans="1:19" ht="60">
      <c r="B8" t="s">
        <v>21</v>
      </c>
      <c r="G8" s="121">
        <f>+Input!I9/12*3</f>
        <v>4636244.75</v>
      </c>
      <c r="H8" s="8"/>
      <c r="J8" s="93" t="s">
        <v>97</v>
      </c>
    </row>
    <row r="9" spans="1:19">
      <c r="B9" t="s">
        <v>0</v>
      </c>
      <c r="G9" s="19"/>
      <c r="H9" s="92">
        <f>+G8</f>
        <v>4636244.75</v>
      </c>
      <c r="J9" s="79" t="s">
        <v>75</v>
      </c>
      <c r="S9" s="32"/>
    </row>
    <row r="10" spans="1:19">
      <c r="B10" s="11"/>
      <c r="G10" s="10">
        <f>SUM(G8:G8)</f>
        <v>4636244.75</v>
      </c>
      <c r="H10" s="10">
        <f>SUM(H8:H9)</f>
        <v>4636244.75</v>
      </c>
      <c r="J10" s="122" t="s">
        <v>76</v>
      </c>
      <c r="K10" s="48"/>
      <c r="L10" s="48"/>
      <c r="M10" s="48"/>
      <c r="S10" s="32"/>
    </row>
    <row r="11" spans="1:19">
      <c r="B11" s="2"/>
      <c r="G11" s="4"/>
      <c r="H11" s="4"/>
      <c r="K11" s="48"/>
      <c r="L11" s="48"/>
      <c r="M11" s="48"/>
      <c r="S11" s="49"/>
    </row>
    <row r="12" spans="1:19">
      <c r="G12" s="4"/>
      <c r="H12" s="4"/>
      <c r="K12" s="48"/>
      <c r="L12" s="48"/>
      <c r="M12" s="48"/>
      <c r="S12" s="32"/>
    </row>
    <row r="13" spans="1:19">
      <c r="G13" s="4"/>
      <c r="H13" s="4"/>
    </row>
    <row r="14" spans="1:19">
      <c r="G14" s="4"/>
      <c r="H14" s="4"/>
      <c r="J14" s="2"/>
    </row>
    <row r="15" spans="1:19">
      <c r="G15" s="4"/>
      <c r="H15" s="4"/>
      <c r="J15" s="2"/>
    </row>
    <row r="16" spans="1:19">
      <c r="B16" s="1" t="s">
        <v>96</v>
      </c>
      <c r="C16" s="1"/>
    </row>
    <row r="17" spans="2:18">
      <c r="B17" t="s">
        <v>10</v>
      </c>
      <c r="C17" s="9"/>
      <c r="G17" s="10" t="str">
        <f>IF(Input!W28&lt;0,-Input!W28,"")</f>
        <v/>
      </c>
      <c r="H17" s="10">
        <f>IF(Input!W28&lt;0,"",Input!W28)</f>
        <v>13486504</v>
      </c>
      <c r="I17" s="10"/>
      <c r="J17" s="2" t="s">
        <v>52</v>
      </c>
      <c r="K17" s="32"/>
    </row>
    <row r="18" spans="2:18">
      <c r="B18" t="s">
        <v>55</v>
      </c>
      <c r="C18" s="9"/>
      <c r="G18" s="10" t="str">
        <f>IF(Input!E28&gt;0,Input!E28,"")</f>
        <v/>
      </c>
      <c r="H18" s="10">
        <f>IF(Input!E28&gt;0,"",-Input!E28)</f>
        <v>16754911</v>
      </c>
      <c r="I18" s="10"/>
      <c r="J18" s="2" t="s">
        <v>23</v>
      </c>
      <c r="K18" s="16"/>
      <c r="L18" s="48"/>
      <c r="M18" s="48"/>
      <c r="N18" s="48"/>
      <c r="O18" s="48"/>
      <c r="P18" s="48"/>
      <c r="Q18" s="48"/>
      <c r="R18" s="48"/>
    </row>
    <row r="19" spans="2:18">
      <c r="B19" t="s">
        <v>56</v>
      </c>
      <c r="C19" s="9"/>
      <c r="G19" s="10" t="str">
        <f>IF(Input!G28&gt;0,Input!G28,"")</f>
        <v/>
      </c>
      <c r="H19" s="10">
        <f>IF(Input!G28&gt;0,"",-Input!G28)</f>
        <v>7132207</v>
      </c>
      <c r="I19" s="10"/>
      <c r="J19" s="2" t="s">
        <v>23</v>
      </c>
      <c r="K19" s="33"/>
      <c r="L19" s="48"/>
      <c r="M19" s="48"/>
      <c r="N19" s="48"/>
      <c r="O19" s="48"/>
      <c r="P19" s="48"/>
      <c r="Q19" s="48"/>
      <c r="R19" s="48"/>
    </row>
    <row r="20" spans="2:18">
      <c r="B20" t="s">
        <v>78</v>
      </c>
      <c r="C20" s="9"/>
      <c r="G20" s="10">
        <f>IF(Input!I28&gt;0,Input!I28,"")</f>
        <v>10440044</v>
      </c>
      <c r="H20" s="10" t="str">
        <f>IF(Input!I28&gt;0,"",-Input!I28)</f>
        <v/>
      </c>
      <c r="I20" s="10"/>
      <c r="J20" s="2" t="s">
        <v>23</v>
      </c>
      <c r="K20" s="33"/>
      <c r="L20" s="48"/>
      <c r="M20" s="48"/>
      <c r="N20" s="48"/>
      <c r="O20" s="48"/>
      <c r="P20" s="48"/>
      <c r="Q20" s="48"/>
      <c r="R20" s="48"/>
    </row>
    <row r="21" spans="2:18">
      <c r="B21" t="s">
        <v>57</v>
      </c>
      <c r="C21" s="9"/>
      <c r="G21" s="10" t="str">
        <f>IF(Input!M28&lt;0,-Input!M28,"")</f>
        <v/>
      </c>
      <c r="H21" s="10">
        <f>IF(Input!M28&lt;0,"",Input!M28)</f>
        <v>0</v>
      </c>
      <c r="I21" s="10"/>
      <c r="J21" s="2" t="s">
        <v>84</v>
      </c>
      <c r="L21" s="48"/>
      <c r="M21" s="48"/>
      <c r="N21" s="48"/>
      <c r="O21" s="48"/>
      <c r="P21" s="48"/>
      <c r="Q21" s="48"/>
      <c r="R21" s="48"/>
    </row>
    <row r="22" spans="2:18">
      <c r="B22" t="s">
        <v>58</v>
      </c>
      <c r="C22" s="9"/>
      <c r="G22" s="10">
        <f>IF(Input!Q28&lt;0,-Input!Q28,"")</f>
        <v>590450</v>
      </c>
      <c r="H22" s="10" t="str">
        <f>IF(Input!Q28&lt;0,"",Input!Q28)</f>
        <v/>
      </c>
      <c r="I22" s="10"/>
      <c r="J22" s="2" t="s">
        <v>84</v>
      </c>
      <c r="L22" s="48"/>
      <c r="M22" s="48"/>
      <c r="N22" s="48"/>
      <c r="O22" s="48"/>
      <c r="P22" s="48"/>
      <c r="Q22" s="48"/>
      <c r="R22" s="48"/>
    </row>
    <row r="23" spans="2:18">
      <c r="B23" t="s">
        <v>80</v>
      </c>
      <c r="G23" s="16">
        <f>IF(Input!U25-G25+H25&lt;0,"",Input!U25-G25+H25)</f>
        <v>25168261.75</v>
      </c>
      <c r="H23" s="16" t="str">
        <f>IF(Input!U25-G25+H25&gt;0,"",-(Input!U25-G25+H25))</f>
        <v/>
      </c>
      <c r="J23" s="2" t="s">
        <v>79</v>
      </c>
      <c r="L23" s="48"/>
      <c r="M23" s="48"/>
      <c r="N23" s="48"/>
      <c r="O23" s="48"/>
      <c r="P23" s="48"/>
      <c r="Q23" s="48"/>
      <c r="R23" s="48"/>
    </row>
    <row r="24" spans="2:18">
      <c r="B24" t="s">
        <v>20</v>
      </c>
      <c r="H24" s="12">
        <f>+G8</f>
        <v>4636244.75</v>
      </c>
      <c r="J24" s="2" t="s">
        <v>24</v>
      </c>
      <c r="L24" s="48"/>
      <c r="M24" s="48"/>
      <c r="N24" s="48"/>
      <c r="O24" s="48"/>
      <c r="P24" s="48"/>
      <c r="Q24" s="48"/>
      <c r="R24" s="48"/>
    </row>
    <row r="25" spans="2:18">
      <c r="B25" t="s">
        <v>25</v>
      </c>
      <c r="G25" s="90">
        <f>IF(Input!I9-G8&gt;0,Input!I9-G8,"")</f>
        <v>13908734.25</v>
      </c>
      <c r="H25" s="90"/>
      <c r="J25" s="2" t="s">
        <v>53</v>
      </c>
      <c r="L25" s="48"/>
      <c r="M25" s="48"/>
      <c r="N25" s="48"/>
      <c r="O25" s="48"/>
      <c r="P25" s="48"/>
      <c r="Q25" s="48"/>
      <c r="R25" s="48"/>
    </row>
    <row r="26" spans="2:18">
      <c r="B26" t="s">
        <v>0</v>
      </c>
      <c r="H26" s="12">
        <f>G25</f>
        <v>13908734.25</v>
      </c>
      <c r="L26" s="48"/>
      <c r="M26" s="48"/>
      <c r="N26" s="48"/>
      <c r="O26" s="48"/>
      <c r="P26" s="48"/>
      <c r="Q26" s="48"/>
      <c r="R26" s="48"/>
    </row>
    <row r="27" spans="2:18">
      <c r="B27" s="68" t="s">
        <v>46</v>
      </c>
      <c r="C27" s="68"/>
      <c r="D27" s="68"/>
      <c r="G27" s="62"/>
      <c r="H27" s="12"/>
      <c r="L27" s="48"/>
      <c r="M27" s="48"/>
      <c r="N27" s="48"/>
      <c r="O27" s="48"/>
      <c r="P27" s="48"/>
      <c r="Q27" s="48"/>
      <c r="R27" s="48"/>
    </row>
    <row r="28" spans="2:18">
      <c r="L28" s="48"/>
      <c r="M28" s="48"/>
      <c r="N28" s="48"/>
      <c r="O28" s="48"/>
      <c r="P28" s="48"/>
      <c r="Q28" s="48"/>
      <c r="R28" s="48"/>
    </row>
    <row r="29" spans="2:18">
      <c r="B29" t="s">
        <v>21</v>
      </c>
      <c r="G29" s="60"/>
      <c r="H29" s="8"/>
      <c r="J29" s="61"/>
    </row>
    <row r="30" spans="2:18">
      <c r="B30" t="s">
        <v>0</v>
      </c>
      <c r="G30" s="19"/>
      <c r="H30" s="92">
        <f>+G29</f>
        <v>0</v>
      </c>
    </row>
    <row r="31" spans="2:18">
      <c r="B31" s="11"/>
      <c r="G31" s="10">
        <f>SUM(G17:G28)</f>
        <v>50107490</v>
      </c>
      <c r="H31" s="10">
        <f>SUM(H17:H28)</f>
        <v>55918601</v>
      </c>
      <c r="J31" s="17">
        <f>IF(G31&gt;H31,G31-H31,H31-G31)</f>
        <v>5811111</v>
      </c>
      <c r="K31" s="48" t="s">
        <v>47</v>
      </c>
    </row>
    <row r="32" spans="2:18">
      <c r="B32" s="2"/>
      <c r="G32" s="4"/>
      <c r="H32" s="4"/>
      <c r="K32" s="48" t="s">
        <v>48</v>
      </c>
    </row>
    <row r="33" spans="7:11">
      <c r="G33" s="4"/>
      <c r="H33" s="4"/>
      <c r="K33" s="48" t="s">
        <v>49</v>
      </c>
    </row>
    <row r="34" spans="7:11">
      <c r="J34" s="75"/>
    </row>
    <row r="35" spans="7:11">
      <c r="J35" s="16">
        <f>+IF(Input!M44&gt;0,Input!M44,Input!O44)</f>
        <v>5811110.2866912615</v>
      </c>
      <c r="K35" s="2" t="s">
        <v>88</v>
      </c>
    </row>
    <row r="37" spans="7:11">
      <c r="J37" s="16">
        <f>+J31-J35</f>
        <v>0.71330873854458332</v>
      </c>
      <c r="K37" s="2" t="s">
        <v>87</v>
      </c>
    </row>
    <row r="38" spans="7:11">
      <c r="J38" s="16">
        <f>J37/2</f>
        <v>0.35665436927229166</v>
      </c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topLeftCell="A9" zoomScaleNormal="100" workbookViewId="0">
      <selection activeCell="H38" sqref="H38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1" max="11" width="12.140625" customWidth="1"/>
    <col min="12" max="12" width="12.7109375" bestFit="1" customWidth="1"/>
    <col min="13" max="13" width="14" bestFit="1" customWidth="1"/>
  </cols>
  <sheetData>
    <row r="1" spans="1:14" ht="22.5">
      <c r="A1" s="148" t="s">
        <v>92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22.5">
      <c r="A2" s="148" t="s">
        <v>93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14">
      <c r="A3" s="150" t="s">
        <v>63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</row>
    <row r="9" spans="1:14">
      <c r="K9" s="149" t="s">
        <v>60</v>
      </c>
      <c r="L9" s="146"/>
      <c r="M9" s="146"/>
      <c r="N9" s="146"/>
    </row>
    <row r="10" spans="1:14">
      <c r="I10" s="50"/>
      <c r="K10" s="32"/>
      <c r="L10" s="54"/>
      <c r="M10" s="32">
        <f>+Input!W20</f>
        <v>132288647</v>
      </c>
      <c r="N10" s="78" t="s">
        <v>62</v>
      </c>
    </row>
    <row r="11" spans="1:14">
      <c r="I11" s="50"/>
      <c r="K11" s="32"/>
      <c r="L11" s="55" t="str">
        <f>+'JE''s'!G17</f>
        <v/>
      </c>
      <c r="M11" s="91">
        <f>+'JE''s'!H17</f>
        <v>13486504</v>
      </c>
      <c r="N11" s="91" t="s">
        <v>32</v>
      </c>
    </row>
    <row r="12" spans="1:14">
      <c r="I12" s="50"/>
      <c r="K12" s="32"/>
      <c r="L12" s="52"/>
      <c r="M12" s="32"/>
      <c r="N12" s="32"/>
    </row>
    <row r="13" spans="1:14">
      <c r="I13" s="50"/>
      <c r="K13" s="56"/>
      <c r="L13" s="57"/>
      <c r="M13" s="56"/>
      <c r="N13" s="56"/>
    </row>
    <row r="14" spans="1:14">
      <c r="I14" s="50"/>
      <c r="K14" s="32"/>
      <c r="L14" s="55">
        <f>SUM(L11:L13)</f>
        <v>0</v>
      </c>
      <c r="M14" s="86">
        <f>SUM(M10:M13)</f>
        <v>145775151</v>
      </c>
      <c r="N14" s="32"/>
    </row>
    <row r="15" spans="1:14">
      <c r="I15" s="50"/>
      <c r="K15" s="32"/>
      <c r="L15" s="52"/>
      <c r="M15" s="32"/>
      <c r="N15" s="32"/>
    </row>
    <row r="16" spans="1:14">
      <c r="I16" s="50"/>
      <c r="K16" s="78" t="s">
        <v>64</v>
      </c>
      <c r="L16" s="52" t="str">
        <f>IF(M14&gt;L14,"",L14-M14)</f>
        <v/>
      </c>
      <c r="M16" s="84">
        <f>IF(M14&gt;L14,M14-L14,"")</f>
        <v>145775151</v>
      </c>
      <c r="N16" s="32"/>
    </row>
    <row r="17" spans="1:14">
      <c r="I17" s="50"/>
      <c r="K17" s="32"/>
      <c r="L17" s="52"/>
      <c r="M17" s="32"/>
      <c r="N17" s="32"/>
    </row>
    <row r="20" spans="1:14">
      <c r="A20" s="147" t="s">
        <v>27</v>
      </c>
      <c r="B20" s="147"/>
      <c r="C20" s="147"/>
      <c r="D20" s="147"/>
      <c r="E20" s="50"/>
      <c r="F20" s="147" t="s">
        <v>27</v>
      </c>
      <c r="G20" s="147"/>
      <c r="H20" s="147"/>
      <c r="I20" s="147"/>
      <c r="J20" s="50"/>
      <c r="K20" s="147" t="s">
        <v>27</v>
      </c>
      <c r="L20" s="147"/>
      <c r="M20" s="147"/>
      <c r="N20" s="147"/>
    </row>
    <row r="21" spans="1:14">
      <c r="A21" s="146" t="s">
        <v>28</v>
      </c>
      <c r="B21" s="146"/>
      <c r="C21" s="146"/>
      <c r="D21" s="146"/>
      <c r="E21" s="50"/>
      <c r="F21" s="146" t="s">
        <v>29</v>
      </c>
      <c r="G21" s="146"/>
      <c r="H21" s="146"/>
      <c r="I21" s="146"/>
      <c r="J21" s="50"/>
      <c r="K21" s="149" t="s">
        <v>81</v>
      </c>
      <c r="L21" s="146"/>
      <c r="M21" s="146"/>
      <c r="N21" s="146"/>
    </row>
    <row r="22" spans="1:14">
      <c r="A22" s="78" t="s">
        <v>62</v>
      </c>
      <c r="B22" s="54">
        <f>+Input!K20+'JE''s'!G8</f>
        <v>71188235.75</v>
      </c>
      <c r="C22" s="32"/>
      <c r="D22" s="32"/>
      <c r="E22" s="32"/>
      <c r="F22" s="32"/>
      <c r="G22" s="51"/>
      <c r="H22" s="32">
        <f>+Input!S20</f>
        <v>590450</v>
      </c>
      <c r="I22" s="78" t="s">
        <v>62</v>
      </c>
      <c r="J22" s="32"/>
      <c r="K22" s="78" t="s">
        <v>32</v>
      </c>
      <c r="L22" s="54">
        <f>+'JE''s'!G23</f>
        <v>25168261.75</v>
      </c>
      <c r="M22" s="32" t="str">
        <f>IF('JE''s'!H23&gt;0,'JE''s'!H23,"")</f>
        <v/>
      </c>
      <c r="N22" s="67"/>
    </row>
    <row r="23" spans="1:14">
      <c r="A23" s="78" t="s">
        <v>32</v>
      </c>
      <c r="B23" s="55" t="str">
        <f>IF(Input!E28&gt;0,Input!E28,"")</f>
        <v/>
      </c>
      <c r="C23" s="32">
        <f>IF(Input!E28&lt;0,-Input!E28,"")</f>
        <v>16754911</v>
      </c>
      <c r="D23" s="78" t="s">
        <v>32</v>
      </c>
      <c r="E23" s="32"/>
      <c r="F23" s="78" t="s">
        <v>32</v>
      </c>
      <c r="G23" s="55" t="str">
        <f>IF(Input!M28&lt;0,-Input!M28,"")</f>
        <v/>
      </c>
      <c r="H23" s="76" t="str">
        <f>IF(Input!M28&gt;0,Input!M28,"")</f>
        <v/>
      </c>
      <c r="J23" s="32"/>
      <c r="K23" s="76" t="s">
        <v>32</v>
      </c>
      <c r="L23" s="55">
        <f>+'JE''s'!G25</f>
        <v>13908734.25</v>
      </c>
      <c r="M23" s="32" t="str">
        <f>IF(+'JE''s'!H25&gt;0,'JE''s'!H25,"")</f>
        <v/>
      </c>
      <c r="N23" s="32"/>
    </row>
    <row r="24" spans="1:14">
      <c r="A24" s="78" t="s">
        <v>32</v>
      </c>
      <c r="B24" s="55"/>
      <c r="C24" s="67">
        <f>'JE''s'!H24</f>
        <v>4636244.75</v>
      </c>
      <c r="D24" s="78" t="s">
        <v>32</v>
      </c>
      <c r="E24" s="32"/>
      <c r="F24" t="s">
        <v>32</v>
      </c>
      <c r="G24" s="55">
        <f>IF(Input!Q28&lt;0,-Input!Q28,"")</f>
        <v>590450</v>
      </c>
      <c r="H24" s="76" t="str">
        <f>IF(Input!Q28&lt;0,"",Input!Q28)</f>
        <v/>
      </c>
      <c r="J24" s="32"/>
      <c r="K24" s="32"/>
      <c r="L24" s="52"/>
      <c r="M24" s="32"/>
      <c r="N24" s="32"/>
    </row>
    <row r="25" spans="1:14">
      <c r="A25" s="32"/>
      <c r="B25" s="52" t="str">
        <f>IF(Input!G28&gt;0,Input!G28,"")</f>
        <v/>
      </c>
      <c r="C25" s="32">
        <f>IF(Input!G28&lt;0,-Input!G28,"")</f>
        <v>7132207</v>
      </c>
      <c r="D25" t="s">
        <v>32</v>
      </c>
      <c r="E25" s="32"/>
      <c r="F25" s="32"/>
      <c r="G25" s="52"/>
      <c r="J25" s="32"/>
      <c r="K25" s="32"/>
      <c r="L25" s="52"/>
      <c r="M25" s="32"/>
      <c r="N25" s="32"/>
    </row>
    <row r="26" spans="1:14">
      <c r="A26" s="32"/>
      <c r="B26" s="85">
        <f>IF(Input!I28&gt;0,Input!I28,"")</f>
        <v>10440044</v>
      </c>
      <c r="C26" s="32" t="str">
        <f>IF(Input!I28&lt;0,-Input!I28,"")</f>
        <v/>
      </c>
      <c r="D26" s="32"/>
      <c r="E26" s="32"/>
      <c r="F26" s="32"/>
      <c r="G26" s="52"/>
      <c r="H26" s="32"/>
      <c r="I26" s="32"/>
      <c r="J26" s="32"/>
      <c r="K26" s="56"/>
      <c r="L26" s="57"/>
      <c r="M26" s="56"/>
      <c r="N26" s="56"/>
    </row>
    <row r="27" spans="1:14">
      <c r="A27" s="32"/>
      <c r="B27" s="55"/>
      <c r="C27" s="32"/>
      <c r="D27" s="32"/>
      <c r="E27" s="32"/>
      <c r="F27" s="56"/>
      <c r="G27" s="57"/>
      <c r="H27" s="56"/>
      <c r="I27" s="56"/>
      <c r="J27" s="32"/>
      <c r="K27" s="32"/>
      <c r="L27" s="85">
        <f>SUM(L22:L26)</f>
        <v>39076996</v>
      </c>
      <c r="M27" s="32">
        <f>SUM(M22:M26)</f>
        <v>0</v>
      </c>
      <c r="N27" s="32"/>
    </row>
    <row r="28" spans="1:14">
      <c r="A28" s="56"/>
      <c r="B28" s="57"/>
      <c r="C28" s="81"/>
      <c r="D28" s="56"/>
      <c r="E28" s="32"/>
      <c r="F28" s="86"/>
      <c r="G28" s="85">
        <f>SUM(G22:G27)</f>
        <v>590450</v>
      </c>
      <c r="H28" s="86">
        <f>SUM(H22:H27)</f>
        <v>590450</v>
      </c>
      <c r="I28" s="86"/>
      <c r="J28" s="86"/>
      <c r="K28" s="86"/>
      <c r="L28" s="85"/>
      <c r="M28" s="86"/>
      <c r="N28" s="86"/>
    </row>
    <row r="29" spans="1:14">
      <c r="A29" s="32"/>
      <c r="B29" s="82">
        <f>SUM(B22:B28)</f>
        <v>81628279.75</v>
      </c>
      <c r="C29" s="83">
        <f>SUM(C22:C28)</f>
        <v>28523362.75</v>
      </c>
      <c r="D29" s="80"/>
      <c r="E29" s="32"/>
      <c r="F29" s="86"/>
      <c r="G29" s="85"/>
      <c r="H29" s="86"/>
      <c r="I29" s="86"/>
      <c r="J29" s="86"/>
      <c r="K29" s="86" t="s">
        <v>64</v>
      </c>
      <c r="L29" s="124">
        <f>IF(M27&gt;L27,"",L27-M27)</f>
        <v>39076996</v>
      </c>
      <c r="M29" s="86" t="str">
        <f>IF(M27&gt;L27,M27-L27,"")</f>
        <v/>
      </c>
      <c r="N29" s="86"/>
    </row>
    <row r="30" spans="1:14">
      <c r="A30" s="32"/>
      <c r="B30" s="85"/>
      <c r="C30" s="83"/>
      <c r="D30" s="53"/>
      <c r="E30" s="32"/>
      <c r="F30" s="32"/>
      <c r="G30" s="58"/>
      <c r="H30" s="32"/>
      <c r="I30" s="32"/>
      <c r="J30" s="32"/>
      <c r="K30" s="32"/>
      <c r="L30" s="58"/>
      <c r="M30" s="32"/>
      <c r="N30" s="32"/>
    </row>
    <row r="31" spans="1:14">
      <c r="A31" s="78" t="s">
        <v>64</v>
      </c>
      <c r="B31" s="84">
        <f>+B29-C29</f>
        <v>53104917</v>
      </c>
      <c r="C31" s="32"/>
      <c r="D31" s="32"/>
      <c r="E31" s="32"/>
      <c r="F31" s="32"/>
      <c r="G31" s="78" t="s">
        <v>64</v>
      </c>
      <c r="H31" s="84">
        <f>+H28-G28</f>
        <v>0</v>
      </c>
      <c r="I31" s="32"/>
      <c r="J31" s="32"/>
      <c r="K31" s="32"/>
      <c r="L31" s="32"/>
      <c r="M31" s="32"/>
      <c r="N31" s="32"/>
    </row>
    <row r="37" spans="1:14">
      <c r="A37" s="146" t="s">
        <v>30</v>
      </c>
      <c r="B37" s="146"/>
      <c r="C37" s="146"/>
      <c r="D37" s="146"/>
      <c r="F37" s="146" t="s">
        <v>31</v>
      </c>
      <c r="G37" s="146"/>
      <c r="H37" s="146"/>
      <c r="I37" s="146"/>
      <c r="K37" s="147"/>
      <c r="L37" s="147"/>
      <c r="M37" s="147"/>
      <c r="N37" s="147"/>
    </row>
    <row r="38" spans="1:14">
      <c r="A38" s="32"/>
      <c r="B38" s="51"/>
      <c r="C38" s="32">
        <f>+Input!I9</f>
        <v>18544979</v>
      </c>
      <c r="D38" s="32" t="s">
        <v>33</v>
      </c>
      <c r="E38" s="32"/>
      <c r="F38" s="32" t="s">
        <v>33</v>
      </c>
      <c r="G38" s="54">
        <f>+Input!I9</f>
        <v>18544979</v>
      </c>
      <c r="H38" s="32">
        <f>+'JE''s'!H26</f>
        <v>13908734.25</v>
      </c>
      <c r="I38" s="78" t="s">
        <v>32</v>
      </c>
      <c r="J38" s="32"/>
      <c r="K38" s="53"/>
      <c r="L38" s="87"/>
      <c r="M38" s="53"/>
      <c r="N38" s="53"/>
    </row>
    <row r="39" spans="1:14">
      <c r="A39" s="32"/>
      <c r="B39" s="52"/>
      <c r="C39" s="32"/>
      <c r="D39" s="32"/>
      <c r="E39" s="32"/>
      <c r="F39" s="32"/>
      <c r="G39" s="52"/>
      <c r="H39" s="32"/>
      <c r="I39" s="32"/>
      <c r="J39" s="32"/>
      <c r="K39" s="53"/>
      <c r="L39" s="58"/>
      <c r="M39" s="53"/>
      <c r="N39" s="53"/>
    </row>
    <row r="40" spans="1:14">
      <c r="A40" s="32"/>
      <c r="B40" s="52"/>
      <c r="C40" s="32"/>
      <c r="D40" s="32"/>
      <c r="E40" s="32"/>
      <c r="F40" s="32"/>
      <c r="G40" s="52"/>
      <c r="H40" s="32"/>
      <c r="I40" s="32"/>
      <c r="J40" s="32"/>
      <c r="K40" s="53"/>
      <c r="L40" s="87"/>
      <c r="M40" s="53"/>
      <c r="N40" s="53"/>
    </row>
    <row r="41" spans="1:14">
      <c r="A41" s="32"/>
      <c r="B41" s="52"/>
      <c r="C41" s="32"/>
      <c r="D41" s="32"/>
      <c r="E41" s="32"/>
      <c r="F41" s="56"/>
      <c r="G41" s="57"/>
      <c r="H41" s="56"/>
      <c r="I41" s="56"/>
      <c r="J41" s="32"/>
      <c r="K41" s="53"/>
      <c r="L41" s="58"/>
      <c r="M41" s="53"/>
      <c r="N41" s="53"/>
    </row>
    <row r="42" spans="1:14">
      <c r="A42" s="32"/>
      <c r="B42" s="52"/>
      <c r="C42" s="32"/>
      <c r="D42" s="32"/>
      <c r="E42" s="32"/>
      <c r="F42" s="32"/>
      <c r="G42" s="52">
        <f>SUM(G38:G41)</f>
        <v>18544979</v>
      </c>
      <c r="H42" s="84">
        <f>SUM(H38:H41)</f>
        <v>13908734.25</v>
      </c>
      <c r="I42" s="32"/>
      <c r="J42" s="32"/>
      <c r="K42" s="53"/>
      <c r="L42" s="58"/>
      <c r="M42" s="53"/>
      <c r="N42" s="53"/>
    </row>
    <row r="43" spans="1:14">
      <c r="A43" s="32"/>
      <c r="B43" s="52"/>
      <c r="C43" s="32"/>
      <c r="D43" s="32"/>
      <c r="E43" s="32"/>
      <c r="F43" s="32"/>
      <c r="G43" s="52"/>
      <c r="H43" s="32"/>
      <c r="I43" s="32"/>
      <c r="J43" s="32"/>
      <c r="K43" s="53"/>
      <c r="L43" s="58"/>
      <c r="M43" s="53"/>
      <c r="N43" s="53"/>
    </row>
    <row r="44" spans="1:14">
      <c r="A44" s="32"/>
      <c r="B44" s="52"/>
      <c r="C44" s="32"/>
      <c r="D44" s="32"/>
      <c r="E44" s="32"/>
      <c r="F44" s="32"/>
      <c r="G44" s="52">
        <f>+G42-H42</f>
        <v>4636244.75</v>
      </c>
      <c r="H44" s="32"/>
      <c r="I44" s="32"/>
      <c r="J44" s="32"/>
      <c r="K44" s="53"/>
      <c r="L44" s="58"/>
      <c r="M44" s="53"/>
      <c r="N44" s="53"/>
    </row>
    <row r="45" spans="1:14">
      <c r="A45" s="32"/>
      <c r="B45" s="52"/>
      <c r="C45" s="32"/>
      <c r="D45" s="32"/>
      <c r="E45" s="32"/>
      <c r="F45" s="32"/>
      <c r="G45" s="52"/>
      <c r="H45" s="32"/>
      <c r="I45" s="32"/>
      <c r="J45" s="32"/>
      <c r="K45" s="53"/>
      <c r="L45" s="58"/>
      <c r="M45" s="53"/>
      <c r="N45" s="53"/>
    </row>
    <row r="46" spans="1:14">
      <c r="A46" s="32"/>
      <c r="B46" s="58"/>
      <c r="C46" s="32"/>
      <c r="D46" s="32"/>
      <c r="E46" s="32"/>
      <c r="F46" s="32"/>
      <c r="G46" s="58"/>
      <c r="H46" s="32"/>
      <c r="I46" s="32"/>
      <c r="J46" s="32"/>
      <c r="K46" s="32"/>
      <c r="L46" s="58"/>
      <c r="M46" s="32"/>
      <c r="N46" s="32"/>
    </row>
    <row r="47" spans="1:14">
      <c r="A47" s="32"/>
      <c r="B47" s="58"/>
      <c r="C47" s="32"/>
      <c r="D47" s="32"/>
      <c r="E47" s="32"/>
      <c r="F47" s="32"/>
      <c r="G47" s="58"/>
      <c r="H47" s="32"/>
      <c r="I47" s="32"/>
      <c r="J47" s="32"/>
      <c r="K47" s="32"/>
      <c r="L47" s="58"/>
      <c r="M47" s="32"/>
      <c r="N47" s="32"/>
    </row>
    <row r="48" spans="1:14">
      <c r="A48" s="32"/>
      <c r="B48" s="58"/>
      <c r="C48" s="32"/>
      <c r="D48" s="32"/>
      <c r="E48" s="32"/>
      <c r="F48" s="32"/>
      <c r="G48" s="58"/>
      <c r="H48" s="32"/>
      <c r="I48" s="32"/>
      <c r="J48" s="32"/>
      <c r="K48" s="32"/>
      <c r="L48" s="58"/>
      <c r="M48" s="32"/>
      <c r="N48" s="32"/>
    </row>
    <row r="49" spans="1:14">
      <c r="A49" s="32"/>
      <c r="B49" s="58"/>
      <c r="C49" s="32"/>
      <c r="D49" s="32"/>
      <c r="E49" s="32"/>
      <c r="F49" s="32"/>
      <c r="G49" s="58"/>
      <c r="H49" s="32"/>
      <c r="I49" s="32"/>
      <c r="J49" s="32"/>
      <c r="K49" s="32"/>
      <c r="L49" s="58"/>
      <c r="M49" s="32"/>
      <c r="N49" s="32"/>
    </row>
    <row r="50" spans="1:1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53"/>
      <c r="L50" s="53"/>
      <c r="M50" s="53"/>
      <c r="N50" s="53"/>
    </row>
    <row r="51" spans="1:14">
      <c r="A51" s="88" t="s">
        <v>61</v>
      </c>
    </row>
    <row r="53" spans="1:14">
      <c r="A53" t="s">
        <v>34</v>
      </c>
    </row>
    <row r="55" spans="1:14">
      <c r="A55" t="s">
        <v>50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5"/>
  <sheetViews>
    <sheetView tabSelected="1" topLeftCell="A40" zoomScale="90" zoomScaleNormal="90" workbookViewId="0">
      <selection activeCell="K20" sqref="K20"/>
    </sheetView>
  </sheetViews>
  <sheetFormatPr defaultRowHeight="15"/>
  <cols>
    <col min="1" max="1" width="14.85546875" customWidth="1"/>
    <col min="2" max="2" width="21" customWidth="1"/>
    <col min="3" max="3" width="14.5703125" bestFit="1" customWidth="1"/>
    <col min="4" max="4" width="19.85546875" customWidth="1"/>
    <col min="5" max="5" width="13" customWidth="1"/>
    <col min="6" max="6" width="19.85546875" customWidth="1"/>
    <col min="7" max="7" width="14.5703125" bestFit="1" customWidth="1"/>
    <col min="8" max="8" width="18.28515625" customWidth="1"/>
    <col min="9" max="9" width="14.42578125" customWidth="1"/>
    <col min="10" max="10" width="16.140625" customWidth="1"/>
    <col min="11" max="11" width="14.42578125" customWidth="1"/>
    <col min="12" max="12" width="19.85546875" hidden="1" customWidth="1"/>
    <col min="13" max="13" width="17.28515625" hidden="1" customWidth="1"/>
    <col min="14" max="14" width="19.85546875" customWidth="1"/>
    <col min="15" max="15" width="3.42578125" customWidth="1"/>
    <col min="16" max="16" width="19.140625" customWidth="1"/>
    <col min="17" max="17" width="3" customWidth="1"/>
    <col min="18" max="18" width="17" customWidth="1"/>
    <col min="20" max="20" width="28.42578125" customWidth="1"/>
    <col min="21" max="21" width="9.140625" customWidth="1"/>
    <col min="23" max="23" width="13.140625" bestFit="1" customWidth="1"/>
    <col min="24" max="24" width="11" bestFit="1" customWidth="1"/>
  </cols>
  <sheetData>
    <row r="1" spans="1:23">
      <c r="A1" t="s">
        <v>82</v>
      </c>
      <c r="D1" s="94">
        <f>+P13+P32+P50</f>
        <v>476794132.52899945</v>
      </c>
      <c r="F1" s="79" t="s">
        <v>73</v>
      </c>
    </row>
    <row r="2" spans="1:23">
      <c r="D2" s="16"/>
      <c r="F2" s="79" t="s">
        <v>65</v>
      </c>
    </row>
    <row r="3" spans="1:23">
      <c r="D3" s="16"/>
    </row>
    <row r="4" spans="1:23">
      <c r="D4" s="16"/>
    </row>
    <row r="5" spans="1:23" ht="19.5">
      <c r="A5" s="95" t="s">
        <v>66</v>
      </c>
    </row>
    <row r="6" spans="1:23">
      <c r="B6">
        <v>5</v>
      </c>
      <c r="D6">
        <v>5</v>
      </c>
      <c r="F6">
        <v>5</v>
      </c>
      <c r="H6">
        <v>5</v>
      </c>
      <c r="J6">
        <v>5</v>
      </c>
      <c r="L6">
        <v>5</v>
      </c>
    </row>
    <row r="7" spans="1:23" ht="30">
      <c r="B7" s="96">
        <v>2019</v>
      </c>
      <c r="C7" s="97" t="s">
        <v>67</v>
      </c>
      <c r="D7" s="96">
        <v>2020</v>
      </c>
      <c r="E7" s="97" t="s">
        <v>67</v>
      </c>
      <c r="F7" s="96">
        <v>2021</v>
      </c>
      <c r="G7" s="97" t="s">
        <v>67</v>
      </c>
      <c r="H7" s="96">
        <v>2022</v>
      </c>
      <c r="I7" s="97" t="s">
        <v>67</v>
      </c>
      <c r="J7" s="5">
        <v>2023</v>
      </c>
      <c r="K7" s="97" t="s">
        <v>67</v>
      </c>
      <c r="L7" s="5"/>
      <c r="M7" s="97" t="s">
        <v>67</v>
      </c>
      <c r="N7" s="5"/>
      <c r="O7" s="5"/>
      <c r="P7" s="119" t="s">
        <v>74</v>
      </c>
      <c r="Q7" s="116"/>
      <c r="R7" s="128" t="s">
        <v>68</v>
      </c>
    </row>
    <row r="8" spans="1:23">
      <c r="B8" s="98">
        <v>-166279620</v>
      </c>
      <c r="C8" s="5"/>
      <c r="D8" s="98">
        <v>740716649</v>
      </c>
      <c r="F8" s="98">
        <v>-3521129416</v>
      </c>
      <c r="H8" s="98">
        <v>3444885678</v>
      </c>
      <c r="J8" s="98">
        <v>-540049791</v>
      </c>
      <c r="L8" s="98"/>
      <c r="N8" s="99"/>
      <c r="O8" s="99"/>
      <c r="P8" s="5"/>
    </row>
    <row r="9" spans="1:23">
      <c r="A9">
        <v>2019</v>
      </c>
      <c r="B9" s="100">
        <f>$B$8/$B$6</f>
        <v>-33255924</v>
      </c>
      <c r="C9" s="99">
        <f>+B8-B9</f>
        <v>-133023696</v>
      </c>
      <c r="P9" s="16">
        <f>+B9+D9</f>
        <v>-33255924</v>
      </c>
    </row>
    <row r="10" spans="1:23">
      <c r="A10">
        <f>+A9+1</f>
        <v>2020</v>
      </c>
      <c r="B10" s="100">
        <f t="shared" ref="B10:B13" si="0">$B$8/$B$6</f>
        <v>-33255924</v>
      </c>
      <c r="C10" s="101">
        <f>+C9-B10</f>
        <v>-99767772</v>
      </c>
      <c r="D10" s="100">
        <f>$D$8/$D$6</f>
        <v>148143329.80000001</v>
      </c>
      <c r="E10" s="89">
        <f>+D8-D10</f>
        <v>592573319.20000005</v>
      </c>
      <c r="F10" s="102"/>
      <c r="H10" s="100"/>
      <c r="J10" s="100"/>
      <c r="L10" s="100"/>
      <c r="N10" s="99"/>
      <c r="O10" s="99"/>
      <c r="P10" s="16">
        <f>+B10+D10</f>
        <v>114887405.80000001</v>
      </c>
      <c r="R10" s="16">
        <f>+C10+E10</f>
        <v>492805547.20000005</v>
      </c>
      <c r="T10" s="16"/>
      <c r="W10" s="16"/>
    </row>
    <row r="11" spans="1:23">
      <c r="A11">
        <f t="shared" ref="A11:A18" si="1">+A10+1</f>
        <v>2021</v>
      </c>
      <c r="B11" s="100">
        <f t="shared" si="0"/>
        <v>-33255924</v>
      </c>
      <c r="C11" s="101">
        <f>+C10-B11</f>
        <v>-66511848</v>
      </c>
      <c r="D11" s="129">
        <f>$D$8/$D$6</f>
        <v>148143329.80000001</v>
      </c>
      <c r="E11" s="89">
        <f>+E10-D11</f>
        <v>444429989.40000004</v>
      </c>
      <c r="F11" s="125">
        <f>$F$8/$F$6</f>
        <v>-704225883.20000005</v>
      </c>
      <c r="G11" s="89">
        <f>+F8-F11</f>
        <v>-2816903532.8000002</v>
      </c>
      <c r="H11" s="100"/>
      <c r="J11" s="100"/>
      <c r="L11" s="100"/>
      <c r="N11" s="99"/>
      <c r="O11" s="99"/>
      <c r="P11" s="16">
        <f>+B11+D11+F11</f>
        <v>-589338477.4000001</v>
      </c>
      <c r="R11" s="16">
        <f>+C11+E11+G11</f>
        <v>-2438985391.4000001</v>
      </c>
    </row>
    <row r="12" spans="1:23">
      <c r="A12">
        <f t="shared" si="1"/>
        <v>2022</v>
      </c>
      <c r="B12" s="100">
        <f t="shared" si="0"/>
        <v>-33255924</v>
      </c>
      <c r="C12" s="101">
        <f>+C11-B12</f>
        <v>-33255924</v>
      </c>
      <c r="D12" s="129">
        <f>$D$8/$D$6</f>
        <v>148143329.80000001</v>
      </c>
      <c r="E12" s="89">
        <f>+E11-D12</f>
        <v>296286659.60000002</v>
      </c>
      <c r="F12" s="125">
        <f>$F$8/$F$6</f>
        <v>-704225883.20000005</v>
      </c>
      <c r="G12" s="89">
        <f>+G11-F12</f>
        <v>-2112677649.6000001</v>
      </c>
      <c r="H12" s="125">
        <f>$H$8/$H$6</f>
        <v>688977135.60000002</v>
      </c>
      <c r="I12" s="89">
        <f>H8-H12</f>
        <v>2755908542.4000001</v>
      </c>
      <c r="J12" s="129"/>
      <c r="K12" s="89"/>
      <c r="L12" s="129"/>
      <c r="M12" s="89"/>
      <c r="N12" s="99"/>
      <c r="O12" s="99"/>
      <c r="P12" s="16">
        <f>+B12+D12+F12+H12</f>
        <v>99638658.199999928</v>
      </c>
      <c r="R12" s="16">
        <f>+C12+E12+G12+I12</f>
        <v>906261628.4000001</v>
      </c>
      <c r="W12" s="16"/>
    </row>
    <row r="13" spans="1:23">
      <c r="A13">
        <f t="shared" si="1"/>
        <v>2023</v>
      </c>
      <c r="B13" s="100">
        <f t="shared" si="0"/>
        <v>-33255924</v>
      </c>
      <c r="C13" s="101">
        <f>+C12-B13</f>
        <v>0</v>
      </c>
      <c r="D13" s="100">
        <f>$D$8/$D$6</f>
        <v>148143329.80000001</v>
      </c>
      <c r="E13" s="103">
        <f>+E12-D13</f>
        <v>148143329.80000001</v>
      </c>
      <c r="F13" s="117">
        <f>$F$8/$F$6</f>
        <v>-704225883.20000005</v>
      </c>
      <c r="G13" s="103">
        <f>+G12-F13</f>
        <v>-1408451766.4000001</v>
      </c>
      <c r="H13" s="117">
        <f>$H$8/$H$6</f>
        <v>688977135.60000002</v>
      </c>
      <c r="I13" s="103">
        <f>+I12-H13</f>
        <v>2066931406.8000002</v>
      </c>
      <c r="J13" s="117">
        <f>+$J$8/$J$6</f>
        <v>-108009958.2</v>
      </c>
      <c r="K13" s="103">
        <f>+J8-J13</f>
        <v>-432039832.80000001</v>
      </c>
      <c r="L13" s="117"/>
      <c r="M13" s="101"/>
      <c r="N13" s="99"/>
      <c r="O13" s="99"/>
      <c r="P13" s="105">
        <f>+B13+D13+F13+H13+L13+J13</f>
        <v>-8371300.0000000745</v>
      </c>
      <c r="R13" s="106">
        <f>+C13+E13+G13+I13+M13+K13</f>
        <v>374583137.40000004</v>
      </c>
    </row>
    <row r="14" spans="1:23">
      <c r="A14">
        <f t="shared" si="1"/>
        <v>2024</v>
      </c>
      <c r="D14" s="100">
        <f>$D$8/$D$6</f>
        <v>148143329.80000001</v>
      </c>
      <c r="E14" s="104">
        <f>+E13-D14</f>
        <v>0</v>
      </c>
      <c r="F14" s="99">
        <f>$F$8/$F$6</f>
        <v>-704225883.20000005</v>
      </c>
      <c r="G14" s="89">
        <f>+G13-F14</f>
        <v>-704225883.20000005</v>
      </c>
      <c r="H14" s="117">
        <f>$H$8/$H$6</f>
        <v>688977135.60000002</v>
      </c>
      <c r="I14" s="89">
        <f>+I13-H14</f>
        <v>1377954271.2000003</v>
      </c>
      <c r="J14" s="117">
        <f t="shared" ref="J14:J17" si="2">+$J$8/$J$6</f>
        <v>-108009958.2</v>
      </c>
      <c r="K14" s="89">
        <f>+K13-J14</f>
        <v>-324029874.60000002</v>
      </c>
      <c r="L14" s="117">
        <f>+$L$8/$L$6</f>
        <v>0</v>
      </c>
      <c r="M14" s="104">
        <f>+L8-L14</f>
        <v>0</v>
      </c>
      <c r="N14" s="99"/>
      <c r="O14" s="99"/>
      <c r="P14" s="16">
        <f>+B14+D14+F14+H14+L14+N14+J14</f>
        <v>24884623.999999925</v>
      </c>
      <c r="R14" s="16">
        <f t="shared" ref="R14:R18" si="3">+C14+E14+G14+I14+M14+K14</f>
        <v>349698513.40000021</v>
      </c>
    </row>
    <row r="15" spans="1:23">
      <c r="A15">
        <f t="shared" si="1"/>
        <v>2025</v>
      </c>
      <c r="D15" s="99"/>
      <c r="F15" s="99">
        <f>$F$8/$F$6</f>
        <v>-704225883.20000005</v>
      </c>
      <c r="G15" s="16">
        <f>+G14-F15</f>
        <v>0</v>
      </c>
      <c r="H15" s="117">
        <f>$H$8/$H$6</f>
        <v>688977135.60000002</v>
      </c>
      <c r="I15" s="16">
        <f>+I14-H15</f>
        <v>688977135.60000026</v>
      </c>
      <c r="J15" s="117">
        <f t="shared" si="2"/>
        <v>-108009958.2</v>
      </c>
      <c r="K15" s="16">
        <f>+K14-J15</f>
        <v>-216019916.40000004</v>
      </c>
      <c r="L15" s="117">
        <f>+$L$8/$L$6</f>
        <v>0</v>
      </c>
      <c r="M15" s="16">
        <f>+M14-L15</f>
        <v>0</v>
      </c>
      <c r="N15" s="99"/>
      <c r="O15" s="99"/>
      <c r="P15" s="16">
        <f>+B15+D15+F15+H15+L15+N15+J15</f>
        <v>-123258705.80000003</v>
      </c>
      <c r="R15" s="16">
        <f t="shared" si="3"/>
        <v>472957219.20000023</v>
      </c>
    </row>
    <row r="16" spans="1:23">
      <c r="A16">
        <f t="shared" si="1"/>
        <v>2026</v>
      </c>
      <c r="D16" s="107"/>
      <c r="F16" s="102"/>
      <c r="H16" s="117">
        <f>$H$8/$H$6</f>
        <v>688977135.60000002</v>
      </c>
      <c r="I16" s="16">
        <f>+I15-H16</f>
        <v>0</v>
      </c>
      <c r="J16" s="117">
        <f t="shared" si="2"/>
        <v>-108009958.2</v>
      </c>
      <c r="K16" s="16">
        <f>+K15-J16</f>
        <v>-108009958.20000003</v>
      </c>
      <c r="L16" s="117">
        <f>+$L$8/$L$6</f>
        <v>0</v>
      </c>
      <c r="M16" s="16">
        <f>+M15-L16</f>
        <v>0</v>
      </c>
      <c r="N16" s="99"/>
      <c r="O16" s="99"/>
      <c r="P16" s="16">
        <f>+H16+L16+N16+J16</f>
        <v>580967177.39999998</v>
      </c>
      <c r="R16" s="16">
        <f t="shared" si="3"/>
        <v>-108009958.20000003</v>
      </c>
    </row>
    <row r="17" spans="1:23">
      <c r="A17">
        <f t="shared" si="1"/>
        <v>2027</v>
      </c>
      <c r="D17" s="107"/>
      <c r="F17" s="111"/>
      <c r="H17" s="107"/>
      <c r="J17" s="99">
        <f t="shared" si="2"/>
        <v>-108009958.2</v>
      </c>
      <c r="K17" s="16">
        <f>+K16-J17</f>
        <v>0</v>
      </c>
      <c r="L17" s="99">
        <f>+$L$8/$L$6</f>
        <v>0</v>
      </c>
      <c r="M17" s="16">
        <f>+M16-L17</f>
        <v>0</v>
      </c>
      <c r="N17" s="99"/>
      <c r="O17" s="99"/>
      <c r="P17" s="16">
        <f>+L17+N17+J17</f>
        <v>-108009958.2</v>
      </c>
      <c r="R17" s="16">
        <f t="shared" si="3"/>
        <v>0</v>
      </c>
    </row>
    <row r="18" spans="1:23">
      <c r="A18">
        <f t="shared" si="1"/>
        <v>2028</v>
      </c>
      <c r="D18" s="107"/>
      <c r="F18" s="111"/>
      <c r="H18" s="107"/>
      <c r="J18" s="99"/>
      <c r="L18" s="99">
        <f>+$L$8/$L$6</f>
        <v>0</v>
      </c>
      <c r="M18" s="16">
        <f>+M17-L18</f>
        <v>0</v>
      </c>
      <c r="N18" s="99"/>
      <c r="O18" s="99"/>
      <c r="P18" s="16">
        <f>+L18+N18</f>
        <v>0</v>
      </c>
      <c r="R18" s="16">
        <f t="shared" si="3"/>
        <v>0</v>
      </c>
    </row>
    <row r="19" spans="1:23">
      <c r="B19" s="132">
        <f>SUM(B9:B17)</f>
        <v>-166279620</v>
      </c>
      <c r="C19" s="99"/>
      <c r="D19" s="132">
        <f>SUM(D9:D17)</f>
        <v>740716649</v>
      </c>
      <c r="F19" s="132">
        <f>SUM(F9:F17)</f>
        <v>-3521129416</v>
      </c>
      <c r="H19" s="132">
        <f>SUM(H9:H17)</f>
        <v>3444885678</v>
      </c>
      <c r="J19" s="132">
        <f>SUM(J9:J17)</f>
        <v>-540049791</v>
      </c>
      <c r="L19" s="132">
        <f>SUM(L9:L18)</f>
        <v>0</v>
      </c>
      <c r="N19" s="99"/>
      <c r="O19" s="99"/>
      <c r="P19" s="133">
        <f>SUM(P9:P18)</f>
        <v>-41856500.000000313</v>
      </c>
    </row>
    <row r="21" spans="1:23">
      <c r="D21" s="16"/>
    </row>
    <row r="22" spans="1:23">
      <c r="D22" s="16"/>
    </row>
    <row r="23" spans="1:23" ht="19.5">
      <c r="A23" s="95" t="s">
        <v>69</v>
      </c>
    </row>
    <row r="24" spans="1:23" ht="19.5">
      <c r="A24" s="95"/>
    </row>
    <row r="25" spans="1:23">
      <c r="B25">
        <v>4.8</v>
      </c>
      <c r="D25">
        <v>4.7</v>
      </c>
      <c r="F25">
        <v>4.5999999999999996</v>
      </c>
      <c r="H25">
        <v>4.5999999999999996</v>
      </c>
      <c r="J25">
        <v>4.4000000000000004</v>
      </c>
      <c r="L25">
        <v>4.5999999999999996</v>
      </c>
      <c r="P25" s="74"/>
    </row>
    <row r="26" spans="1:23" ht="30">
      <c r="B26" s="96">
        <f>+B7</f>
        <v>2019</v>
      </c>
      <c r="C26" s="5"/>
      <c r="D26" s="96">
        <f>+D7</f>
        <v>2020</v>
      </c>
      <c r="F26" s="96">
        <f>+F7</f>
        <v>2021</v>
      </c>
      <c r="H26" s="96">
        <f>+H7</f>
        <v>2022</v>
      </c>
      <c r="I26" s="5"/>
      <c r="J26" s="96">
        <f>+J7</f>
        <v>2023</v>
      </c>
      <c r="K26" s="5"/>
      <c r="L26" s="5"/>
      <c r="M26" s="5"/>
      <c r="N26" s="5"/>
      <c r="O26" s="5"/>
      <c r="P26" s="130" t="s">
        <v>74</v>
      </c>
      <c r="R26" s="128" t="s">
        <v>68</v>
      </c>
    </row>
    <row r="27" spans="1:23">
      <c r="B27" s="112">
        <v>-105480176</v>
      </c>
      <c r="C27" s="5"/>
      <c r="D27" s="112">
        <v>166634457</v>
      </c>
      <c r="F27" s="98">
        <v>26369372</v>
      </c>
      <c r="H27" s="98">
        <v>457371784</v>
      </c>
      <c r="J27" s="98">
        <v>506681792</v>
      </c>
      <c r="L27" s="98"/>
      <c r="N27" s="99"/>
      <c r="O27" s="99"/>
      <c r="P27" s="5"/>
    </row>
    <row r="28" spans="1:23">
      <c r="A28">
        <v>2019</v>
      </c>
      <c r="B28" s="100">
        <f>$B$27/$B$25</f>
        <v>-21975036.666666668</v>
      </c>
      <c r="C28" s="99">
        <f>+B27-B28</f>
        <v>-83505139.333333328</v>
      </c>
      <c r="D28" s="100"/>
      <c r="P28" s="16">
        <f>+B28+D28</f>
        <v>-21975036.666666668</v>
      </c>
      <c r="R28" s="16">
        <f>+C28</f>
        <v>-83505139.333333328</v>
      </c>
    </row>
    <row r="29" spans="1:23">
      <c r="A29">
        <f>+A28+1</f>
        <v>2020</v>
      </c>
      <c r="B29" s="100">
        <f>$B$27/$B$25</f>
        <v>-21975036.666666668</v>
      </c>
      <c r="C29" s="101">
        <f>+C28-B29</f>
        <v>-61530102.666666657</v>
      </c>
      <c r="D29" s="100">
        <f>$D$27/$D$25</f>
        <v>35454139.787234038</v>
      </c>
      <c r="E29" s="89">
        <f>+D27-D29</f>
        <v>131180317.21276596</v>
      </c>
      <c r="F29" s="102"/>
      <c r="H29" s="100"/>
      <c r="J29" s="117"/>
      <c r="L29" s="117"/>
      <c r="N29" s="99"/>
      <c r="O29" s="99"/>
      <c r="P29" s="16">
        <f>+B29+D29</f>
        <v>13479103.12056737</v>
      </c>
      <c r="R29" s="16">
        <f>+C29+E29</f>
        <v>69650214.546099305</v>
      </c>
      <c r="W29" s="16"/>
    </row>
    <row r="30" spans="1:23">
      <c r="A30">
        <f t="shared" ref="A30:A37" si="4">+A29+1</f>
        <v>2021</v>
      </c>
      <c r="B30" s="100">
        <f>$B$27/$B$25</f>
        <v>-21975036.666666668</v>
      </c>
      <c r="C30" s="101">
        <f>+C29-B30</f>
        <v>-39555065.999999985</v>
      </c>
      <c r="D30" s="129">
        <f>$D$27/$D$25</f>
        <v>35454139.787234038</v>
      </c>
      <c r="E30" s="89">
        <f>+E29-D30</f>
        <v>95726177.425531924</v>
      </c>
      <c r="F30" s="125">
        <f>$F$27/$F$25</f>
        <v>5732472.1739130439</v>
      </c>
      <c r="G30" s="89">
        <f>+F27-F30</f>
        <v>20636899.826086957</v>
      </c>
      <c r="H30" s="100"/>
      <c r="J30" s="117"/>
      <c r="L30" s="117"/>
      <c r="N30" s="99"/>
      <c r="O30" s="99"/>
      <c r="P30" s="16">
        <f>+B30+D30+F30</f>
        <v>19211575.294480413</v>
      </c>
      <c r="R30" s="16">
        <f>+C30+E30+G30</f>
        <v>76808011.251618892</v>
      </c>
    </row>
    <row r="31" spans="1:23">
      <c r="A31">
        <f t="shared" si="4"/>
        <v>2022</v>
      </c>
      <c r="B31" s="100">
        <f>$B$27/$B$25</f>
        <v>-21975036.666666668</v>
      </c>
      <c r="C31" s="101">
        <f>+C30-B31</f>
        <v>-17580029.333333317</v>
      </c>
      <c r="D31" s="129">
        <f>$D$27/$D$25</f>
        <v>35454139.787234038</v>
      </c>
      <c r="E31" s="89">
        <f>+E30-D31</f>
        <v>60272037.638297886</v>
      </c>
      <c r="F31" s="125">
        <f>$F$27/$F$25</f>
        <v>5732472.1739130439</v>
      </c>
      <c r="G31" s="89">
        <f>+G30-F31</f>
        <v>14904427.652173914</v>
      </c>
      <c r="H31" s="125">
        <f>$H$27/$H$25</f>
        <v>99428648.695652187</v>
      </c>
      <c r="I31" s="89">
        <f>+H27-H31</f>
        <v>357943135.30434781</v>
      </c>
      <c r="J31" s="125"/>
      <c r="K31" s="89"/>
      <c r="L31" s="125"/>
      <c r="M31" s="89"/>
      <c r="N31" s="99"/>
      <c r="O31" s="99"/>
      <c r="P31" s="16">
        <f>+B31+D31+F31+H31</f>
        <v>118640223.9901326</v>
      </c>
      <c r="R31" s="16">
        <f>+C31+E31+G31+M31+I31</f>
        <v>415539571.26148629</v>
      </c>
    </row>
    <row r="32" spans="1:23">
      <c r="A32">
        <f t="shared" si="4"/>
        <v>2023</v>
      </c>
      <c r="B32" s="100">
        <f>+C31</f>
        <v>-17580029.333333317</v>
      </c>
      <c r="C32" s="101">
        <f>+C31-B32</f>
        <v>0</v>
      </c>
      <c r="D32" s="100">
        <f>$D$27/$D$25</f>
        <v>35454139.787234038</v>
      </c>
      <c r="E32" s="103">
        <f>+E31-D32</f>
        <v>24817897.851063848</v>
      </c>
      <c r="F32" s="117">
        <f>$F$27/$F$25</f>
        <v>5732472.1739130439</v>
      </c>
      <c r="G32" s="103">
        <f>+G31-F32</f>
        <v>9171955.478260871</v>
      </c>
      <c r="H32" s="125">
        <f>$H$27/$H$25</f>
        <v>99428648.695652187</v>
      </c>
      <c r="I32" s="103">
        <f>+I31-H32</f>
        <v>258514486.60869563</v>
      </c>
      <c r="J32" s="125">
        <f>$J$27/$J$25</f>
        <v>115154952.72727272</v>
      </c>
      <c r="K32" s="103">
        <f>+J27-J32</f>
        <v>391526839.27272725</v>
      </c>
      <c r="L32" s="125"/>
      <c r="M32" s="101"/>
      <c r="N32" s="113"/>
      <c r="O32" s="113"/>
      <c r="P32" s="105">
        <f>+B32+D32+F32+H32+L32+J32</f>
        <v>238190184.05073866</v>
      </c>
      <c r="R32" s="106">
        <f>+C32+E32+G32+I32+M32+K32</f>
        <v>684031179.2107476</v>
      </c>
    </row>
    <row r="33" spans="1:18">
      <c r="A33">
        <f t="shared" si="4"/>
        <v>2024</v>
      </c>
      <c r="B33" s="107"/>
      <c r="C33" s="103"/>
      <c r="D33" s="100">
        <f>+E32</f>
        <v>24817897.851063848</v>
      </c>
      <c r="E33" s="103">
        <f>+E32-D33</f>
        <v>0</v>
      </c>
      <c r="F33" s="117">
        <f>$F$27/$F$25</f>
        <v>5732472.1739130439</v>
      </c>
      <c r="G33" s="101">
        <f>+G32-F33</f>
        <v>3439483.3043478271</v>
      </c>
      <c r="H33" s="125">
        <f>$H$27/$H$25</f>
        <v>99428648.695652187</v>
      </c>
      <c r="I33" s="101">
        <f>+I32-H33</f>
        <v>159085837.91304344</v>
      </c>
      <c r="J33" s="125">
        <f t="shared" ref="J33:J35" si="5">$J$27/$J$25</f>
        <v>115154952.72727272</v>
      </c>
      <c r="K33" s="101">
        <f>+K32-J33</f>
        <v>276371886.5454545</v>
      </c>
      <c r="L33" s="125">
        <f>$L$27/$L$25</f>
        <v>0</v>
      </c>
      <c r="M33" s="103">
        <f>+L27-L33</f>
        <v>0</v>
      </c>
      <c r="N33" s="113"/>
      <c r="O33" s="113"/>
      <c r="P33" s="16">
        <f>+B33+D33+F33+H33+L33+N33+J33</f>
        <v>245133971.44790179</v>
      </c>
      <c r="R33" s="16">
        <f>+E33+G33+I33+M33+O33+K33</f>
        <v>438897207.76284575</v>
      </c>
    </row>
    <row r="34" spans="1:18">
      <c r="A34">
        <f t="shared" si="4"/>
        <v>2025</v>
      </c>
      <c r="B34" s="107"/>
      <c r="C34" s="99"/>
      <c r="D34" s="107"/>
      <c r="E34" s="16"/>
      <c r="F34" s="117">
        <f>+F27-SUM(F30:F33)</f>
        <v>3439483.3043478243</v>
      </c>
      <c r="G34" s="16">
        <f>+G33-F34</f>
        <v>0</v>
      </c>
      <c r="H34" s="125">
        <f>$H$27/$H$25</f>
        <v>99428648.695652187</v>
      </c>
      <c r="I34" s="16">
        <f>+I33-H34</f>
        <v>59657189.217391253</v>
      </c>
      <c r="J34" s="125">
        <f t="shared" si="5"/>
        <v>115154952.72727272</v>
      </c>
      <c r="K34" s="16">
        <f>+K33-J34</f>
        <v>161216933.81818178</v>
      </c>
      <c r="L34" s="125">
        <f>$L$27/$L$25</f>
        <v>0</v>
      </c>
      <c r="M34" s="16">
        <f>+M33-L34</f>
        <v>0</v>
      </c>
      <c r="N34" s="113"/>
      <c r="O34" s="113"/>
      <c r="P34" s="16">
        <f>+D34+F34+H34+L34+N34+J34</f>
        <v>218023084.72727275</v>
      </c>
      <c r="R34" s="16">
        <f>+I34+M34+O34+K34</f>
        <v>220874123.03557304</v>
      </c>
    </row>
    <row r="35" spans="1:18">
      <c r="A35">
        <f t="shared" si="4"/>
        <v>2026</v>
      </c>
      <c r="F35" s="99"/>
      <c r="H35" s="125">
        <f>+H27-SUM(H31:H34)</f>
        <v>59657189.217391253</v>
      </c>
      <c r="I35" s="16">
        <f>+I34-H35</f>
        <v>0</v>
      </c>
      <c r="J35" s="125">
        <f t="shared" si="5"/>
        <v>115154952.72727272</v>
      </c>
      <c r="K35" s="16">
        <f>+K34-J35</f>
        <v>46061981.090909064</v>
      </c>
      <c r="L35" s="125">
        <f>$L$27/$L$25</f>
        <v>0</v>
      </c>
      <c r="M35" s="16">
        <f>+M34-L35</f>
        <v>0</v>
      </c>
      <c r="N35" s="113"/>
      <c r="O35" s="113"/>
      <c r="P35" s="16">
        <f>+H35+L35+N35+J35</f>
        <v>174812141.94466397</v>
      </c>
      <c r="R35" s="16">
        <f>+M35+O35+K35</f>
        <v>46061981.090909064</v>
      </c>
    </row>
    <row r="36" spans="1:18">
      <c r="A36">
        <f t="shared" si="4"/>
        <v>2027</v>
      </c>
      <c r="B36" s="100"/>
      <c r="C36" s="99"/>
      <c r="D36" s="100"/>
      <c r="F36" s="102"/>
      <c r="H36" s="99"/>
      <c r="J36" s="125">
        <f>+J27-(SUM(J30:J35))</f>
        <v>46061981.090909123</v>
      </c>
      <c r="K36" s="16">
        <f>+K35-J36</f>
        <v>-5.9604644775390625E-8</v>
      </c>
      <c r="L36" s="125">
        <f>$L$27/$L$25</f>
        <v>0</v>
      </c>
      <c r="M36" s="16">
        <f>+M35-L36</f>
        <v>0</v>
      </c>
      <c r="N36" s="113"/>
      <c r="O36" s="113"/>
      <c r="P36" s="16">
        <f>+L36+N36+J36</f>
        <v>46061981.090909123</v>
      </c>
      <c r="R36" s="16">
        <f>+C36+E36+G36+M36+K36+I36</f>
        <v>-5.9604644775390625E-8</v>
      </c>
    </row>
    <row r="37" spans="1:18">
      <c r="A37">
        <f t="shared" si="4"/>
        <v>2028</v>
      </c>
      <c r="B37" s="3"/>
      <c r="D37" s="110"/>
      <c r="F37" s="109"/>
      <c r="H37" s="108"/>
      <c r="J37" s="131"/>
      <c r="L37" s="131">
        <f>L27-SUM(L32:L36)</f>
        <v>0</v>
      </c>
      <c r="N37" s="99"/>
      <c r="O37" s="99"/>
      <c r="P37" s="110">
        <f>+B37+D37+L37+J37+H37+F37</f>
        <v>0</v>
      </c>
      <c r="R37" s="16">
        <f>+M37</f>
        <v>0</v>
      </c>
    </row>
    <row r="38" spans="1:18">
      <c r="B38" s="100">
        <f>SUM(B28:B37)</f>
        <v>-105480175.99999999</v>
      </c>
      <c r="C38" s="99"/>
      <c r="D38" s="100">
        <f>SUM(D28:D37)</f>
        <v>166634457</v>
      </c>
      <c r="F38" s="100">
        <f>SUM(F28:F37)</f>
        <v>26369372</v>
      </c>
      <c r="H38" s="100">
        <f>SUM(H28:H37)</f>
        <v>457371784</v>
      </c>
      <c r="J38" s="117">
        <f>SUM(J28:J37)</f>
        <v>506681792</v>
      </c>
      <c r="L38" s="117">
        <f>SUM(L28:L37)</f>
        <v>0</v>
      </c>
      <c r="N38" s="99"/>
      <c r="O38" s="99"/>
      <c r="P38" s="16">
        <f>SUM(P28:P37)</f>
        <v>1051577229.0000001</v>
      </c>
    </row>
    <row r="39" spans="1:18">
      <c r="B39" s="100"/>
      <c r="C39" s="99"/>
      <c r="D39" s="100"/>
      <c r="F39" s="100"/>
      <c r="H39" s="100"/>
      <c r="J39" s="117"/>
      <c r="L39" s="117"/>
      <c r="N39" s="99"/>
      <c r="O39" s="99"/>
      <c r="P39" s="16"/>
    </row>
    <row r="40" spans="1:18">
      <c r="B40" s="100"/>
      <c r="C40" s="99"/>
      <c r="D40" s="100"/>
      <c r="F40" s="100"/>
      <c r="H40" s="100"/>
      <c r="J40" s="117"/>
      <c r="L40" s="117"/>
      <c r="N40" s="99"/>
      <c r="O40" s="99"/>
    </row>
    <row r="41" spans="1:18">
      <c r="B41" s="100"/>
      <c r="C41" s="99"/>
      <c r="D41" s="100"/>
      <c r="F41" s="100"/>
      <c r="H41" s="100"/>
      <c r="J41" s="117"/>
      <c r="L41" s="117"/>
      <c r="N41" s="99"/>
      <c r="O41" s="99"/>
    </row>
    <row r="42" spans="1:18" ht="19.5">
      <c r="A42" s="95" t="s">
        <v>70</v>
      </c>
    </row>
    <row r="43" spans="1:18">
      <c r="B43">
        <v>4.9000000000000004</v>
      </c>
      <c r="D43">
        <v>4.8</v>
      </c>
      <c r="F43">
        <v>4.5999999999999996</v>
      </c>
      <c r="H43">
        <v>4.8</v>
      </c>
      <c r="J43">
        <v>4.5999999999999996</v>
      </c>
      <c r="L43">
        <v>4.5999999999999996</v>
      </c>
      <c r="P43" s="74"/>
    </row>
    <row r="44" spans="1:18" ht="30">
      <c r="B44" s="96">
        <f>+B7</f>
        <v>2019</v>
      </c>
      <c r="C44" s="5"/>
      <c r="D44" s="96">
        <f>+D7</f>
        <v>2020</v>
      </c>
      <c r="F44" s="96">
        <f>+F7</f>
        <v>2021</v>
      </c>
      <c r="H44" s="96">
        <f>+H7</f>
        <v>2022</v>
      </c>
      <c r="I44" s="5"/>
      <c r="J44" s="5">
        <f>+J7</f>
        <v>2023</v>
      </c>
      <c r="K44" s="5"/>
      <c r="L44" s="5"/>
      <c r="M44" s="5"/>
      <c r="N44" s="5"/>
      <c r="O44" s="5"/>
      <c r="P44" s="130" t="s">
        <v>74</v>
      </c>
      <c r="R44" s="128" t="s">
        <v>68</v>
      </c>
    </row>
    <row r="45" spans="1:18">
      <c r="B45" s="114">
        <v>0</v>
      </c>
      <c r="C45" s="4"/>
      <c r="D45" s="98">
        <v>0</v>
      </c>
      <c r="F45" s="98">
        <v>1136086143</v>
      </c>
      <c r="H45" s="98">
        <v>0</v>
      </c>
      <c r="J45" s="98">
        <v>0</v>
      </c>
      <c r="L45" s="98">
        <v>0</v>
      </c>
      <c r="N45" s="99"/>
      <c r="O45" s="99"/>
      <c r="P45" s="5"/>
    </row>
    <row r="46" spans="1:18">
      <c r="A46">
        <v>2019</v>
      </c>
      <c r="B46" s="100">
        <f>$B$45/$B$43</f>
        <v>0</v>
      </c>
      <c r="C46" s="99">
        <f>+B45-B46</f>
        <v>0</v>
      </c>
      <c r="P46" s="16">
        <f>+B46+D46</f>
        <v>0</v>
      </c>
      <c r="R46" s="16">
        <f>+C46</f>
        <v>0</v>
      </c>
    </row>
    <row r="47" spans="1:18">
      <c r="A47">
        <f>+A46+1</f>
        <v>2020</v>
      </c>
      <c r="B47" s="100">
        <f>$B$45/$B$43</f>
        <v>0</v>
      </c>
      <c r="C47" s="101">
        <f>+C46-B47</f>
        <v>0</v>
      </c>
      <c r="D47" s="100">
        <f>$D$45/$D$43</f>
        <v>0</v>
      </c>
      <c r="E47" s="16">
        <f>+D45-D47</f>
        <v>0</v>
      </c>
      <c r="F47" s="118"/>
      <c r="H47" s="100"/>
      <c r="J47" s="117"/>
      <c r="L47" s="117"/>
      <c r="N47" s="99"/>
      <c r="O47" s="99"/>
      <c r="P47" s="16">
        <f>+B47+D47</f>
        <v>0</v>
      </c>
      <c r="R47" s="16">
        <f>+C47+E47</f>
        <v>0</v>
      </c>
    </row>
    <row r="48" spans="1:18">
      <c r="A48">
        <f t="shared" ref="A48:A55" si="6">+A47+1</f>
        <v>2021</v>
      </c>
      <c r="B48" s="100">
        <f>$B$45/$B$43</f>
        <v>0</v>
      </c>
      <c r="C48" s="101">
        <f>+C47-B48</f>
        <v>0</v>
      </c>
      <c r="D48" s="100">
        <f t="shared" ref="D48:D50" si="7">$D$45/$D$43</f>
        <v>0</v>
      </c>
      <c r="E48" s="16">
        <f>+E47-D48</f>
        <v>0</v>
      </c>
      <c r="F48" s="117">
        <f>$F$45/$F$43</f>
        <v>246975248.47826087</v>
      </c>
      <c r="G48" s="89">
        <f>+F45-F48</f>
        <v>889110894.52173913</v>
      </c>
      <c r="H48" s="100"/>
      <c r="J48" s="117"/>
      <c r="L48" s="117"/>
      <c r="N48" s="99"/>
      <c r="O48" s="99"/>
      <c r="P48" s="16">
        <f>+B48+D48+F48</f>
        <v>246975248.47826087</v>
      </c>
      <c r="R48" s="16">
        <f>+C48+E48+G48</f>
        <v>889110894.52173913</v>
      </c>
    </row>
    <row r="49" spans="1:18">
      <c r="A49">
        <f t="shared" si="6"/>
        <v>2022</v>
      </c>
      <c r="B49" s="100">
        <f>$B$45/$B$43</f>
        <v>0</v>
      </c>
      <c r="C49" s="101">
        <f>+C48-B49</f>
        <v>0</v>
      </c>
      <c r="D49" s="100">
        <f t="shared" si="7"/>
        <v>0</v>
      </c>
      <c r="E49" s="16">
        <f t="shared" ref="E49:E50" si="8">+E48-D49</f>
        <v>0</v>
      </c>
      <c r="F49" s="101">
        <f>$F$45/$F$43</f>
        <v>246975248.47826087</v>
      </c>
      <c r="G49" s="101">
        <f>+G48-F49</f>
        <v>642135646.04347825</v>
      </c>
      <c r="H49" s="101">
        <f>+$H$45/$H$43</f>
        <v>0</v>
      </c>
      <c r="I49" s="101">
        <f>+H45-H49</f>
        <v>0</v>
      </c>
      <c r="J49" s="101"/>
      <c r="K49" s="101"/>
      <c r="L49" s="101"/>
      <c r="M49" s="101"/>
      <c r="N49" s="101"/>
      <c r="O49" s="99"/>
      <c r="P49" s="16">
        <f>+B49+D49+F49+H49</f>
        <v>246975248.47826087</v>
      </c>
      <c r="R49" s="16">
        <f>+C49+E49+G49+M49+I49+K49</f>
        <v>642135646.04347825</v>
      </c>
    </row>
    <row r="50" spans="1:18">
      <c r="A50">
        <f t="shared" si="6"/>
        <v>2023</v>
      </c>
      <c r="B50" s="100">
        <v>0</v>
      </c>
      <c r="C50" s="101">
        <f>+C49-B50</f>
        <v>0</v>
      </c>
      <c r="D50" s="100">
        <f t="shared" si="7"/>
        <v>0</v>
      </c>
      <c r="E50" s="16">
        <f t="shared" si="8"/>
        <v>0</v>
      </c>
      <c r="F50" s="101">
        <f>$F$45/$F$43</f>
        <v>246975248.47826087</v>
      </c>
      <c r="G50" s="103">
        <f>+G49-F50</f>
        <v>395160397.56521738</v>
      </c>
      <c r="H50" s="101">
        <f t="shared" ref="H50:H52" si="9">+$H$45/$H$43</f>
        <v>0</v>
      </c>
      <c r="I50" s="101">
        <f>+I49-H50</f>
        <v>0</v>
      </c>
      <c r="J50" s="101">
        <f>+$J$45/$J$43</f>
        <v>0</v>
      </c>
      <c r="K50" s="101">
        <f>+J45-J50</f>
        <v>0</v>
      </c>
      <c r="L50" s="101"/>
      <c r="M50" s="101"/>
      <c r="N50" s="101"/>
      <c r="O50" s="113"/>
      <c r="P50" s="105">
        <f>+B50+D50+F50+H50+L50+J50</f>
        <v>246975248.47826087</v>
      </c>
      <c r="Q50" s="16"/>
      <c r="R50" s="106">
        <f>+C50+E50+G50+I50+M50+K50</f>
        <v>395160397.56521738</v>
      </c>
    </row>
    <row r="51" spans="1:18">
      <c r="A51">
        <f t="shared" si="6"/>
        <v>2024</v>
      </c>
      <c r="B51" s="107"/>
      <c r="C51" s="103"/>
      <c r="D51" s="16">
        <f>+E50</f>
        <v>0</v>
      </c>
      <c r="E51" s="103">
        <v>0</v>
      </c>
      <c r="F51" s="117">
        <f>$F$45/$F$43</f>
        <v>246975248.47826087</v>
      </c>
      <c r="G51" s="101">
        <f>+G50-F51</f>
        <v>148185149.0869565</v>
      </c>
      <c r="H51" s="101">
        <f t="shared" si="9"/>
        <v>0</v>
      </c>
      <c r="I51" s="103">
        <f t="shared" ref="I51:I52" si="10">+I50-H51</f>
        <v>0</v>
      </c>
      <c r="J51" s="101">
        <f t="shared" ref="J51:J53" si="11">+$J$45/$J$43</f>
        <v>0</v>
      </c>
      <c r="K51" s="103">
        <f>+K50-J51</f>
        <v>0</v>
      </c>
      <c r="L51" s="118">
        <f>+$L$45/$L$43</f>
        <v>0</v>
      </c>
      <c r="M51" s="135">
        <f>+L45-L51</f>
        <v>0</v>
      </c>
      <c r="N51" s="113"/>
      <c r="O51" s="113"/>
      <c r="P51" s="16">
        <f>+B51+D51+F51+H51+L51+N51+J51</f>
        <v>246975248.47826087</v>
      </c>
      <c r="R51" s="16">
        <f>G51+I51+M51+O51+C51+E51+K51</f>
        <v>148185149.0869565</v>
      </c>
    </row>
    <row r="52" spans="1:18">
      <c r="A52">
        <f t="shared" si="6"/>
        <v>2025</v>
      </c>
      <c r="B52" s="107"/>
      <c r="C52" s="99"/>
      <c r="F52" s="117">
        <f>+F45-SUM(F48:F51)</f>
        <v>148185149.0869565</v>
      </c>
      <c r="G52" s="16">
        <f>+G51-F52</f>
        <v>0</v>
      </c>
      <c r="H52" s="101">
        <f t="shared" si="9"/>
        <v>0</v>
      </c>
      <c r="I52" s="101">
        <f t="shared" si="10"/>
        <v>0</v>
      </c>
      <c r="J52" s="101">
        <f t="shared" si="11"/>
        <v>0</v>
      </c>
      <c r="K52" s="101">
        <f>+K51-J52</f>
        <v>0</v>
      </c>
      <c r="L52" s="118">
        <f>+$L$45/$L$43</f>
        <v>0</v>
      </c>
      <c r="M52" s="76">
        <f>+M51-L52</f>
        <v>0</v>
      </c>
      <c r="N52" s="113"/>
      <c r="O52" s="113"/>
      <c r="P52" s="16">
        <f>F52+H52+L52+N52+J52</f>
        <v>148185149.0869565</v>
      </c>
      <c r="R52" s="16">
        <f t="shared" ref="R52:R55" si="12">G52+I52+M52+O52+C52+E52+K52</f>
        <v>0</v>
      </c>
    </row>
    <row r="53" spans="1:18">
      <c r="A53">
        <f t="shared" si="6"/>
        <v>2026</v>
      </c>
      <c r="B53" s="107"/>
      <c r="C53" s="99"/>
      <c r="F53" s="99"/>
      <c r="H53" s="101">
        <f>+I52</f>
        <v>0</v>
      </c>
      <c r="I53" s="101">
        <f>+I52-H53</f>
        <v>0</v>
      </c>
      <c r="J53" s="101">
        <f t="shared" si="11"/>
        <v>0</v>
      </c>
      <c r="K53" s="101">
        <f>+K52-J53</f>
        <v>0</v>
      </c>
      <c r="L53" s="118">
        <f>+$L$45/$L$43</f>
        <v>0</v>
      </c>
      <c r="M53" s="76">
        <f>+M52-L53</f>
        <v>0</v>
      </c>
      <c r="N53" s="113"/>
      <c r="O53" s="113"/>
      <c r="P53" s="16">
        <f>F53+H53+L53+N53+J53</f>
        <v>0</v>
      </c>
      <c r="R53" s="16">
        <f t="shared" si="12"/>
        <v>0</v>
      </c>
    </row>
    <row r="54" spans="1:18">
      <c r="A54">
        <f t="shared" si="6"/>
        <v>2027</v>
      </c>
      <c r="B54" s="107"/>
      <c r="C54" s="99"/>
      <c r="F54" s="118"/>
      <c r="H54" s="99"/>
      <c r="J54" s="101">
        <f>+J45-SUM(J50:J53)</f>
        <v>0</v>
      </c>
      <c r="K54" s="33">
        <f>+K53-J54</f>
        <v>0</v>
      </c>
      <c r="L54" s="118">
        <f>+$L$45/$L$43</f>
        <v>0</v>
      </c>
      <c r="M54" s="76">
        <f>+M53-L54</f>
        <v>0</v>
      </c>
      <c r="N54" s="113"/>
      <c r="O54" s="113"/>
      <c r="P54" s="16">
        <f>+L54+N54+J54</f>
        <v>0</v>
      </c>
      <c r="R54" s="16">
        <f t="shared" si="12"/>
        <v>0</v>
      </c>
    </row>
    <row r="55" spans="1:18">
      <c r="A55">
        <f t="shared" si="6"/>
        <v>2028</v>
      </c>
      <c r="B55" s="108"/>
      <c r="C55" s="99"/>
      <c r="D55" s="3"/>
      <c r="F55" s="109"/>
      <c r="H55" s="108"/>
      <c r="J55" s="131"/>
      <c r="L55" s="131">
        <f>+M54</f>
        <v>0</v>
      </c>
      <c r="M55">
        <v>0</v>
      </c>
      <c r="N55" s="99"/>
      <c r="O55" s="99"/>
      <c r="P55" s="110">
        <f>+N55+L55</f>
        <v>0</v>
      </c>
      <c r="R55" s="16">
        <f t="shared" si="12"/>
        <v>0</v>
      </c>
    </row>
    <row r="56" spans="1:18">
      <c r="B56" s="100">
        <f>SUM(B46:B55)</f>
        <v>0</v>
      </c>
      <c r="C56" s="99"/>
      <c r="D56" s="100">
        <f>SUM(D46:D55)</f>
        <v>0</v>
      </c>
      <c r="F56" s="100">
        <f>SUM(F46:F55)</f>
        <v>1136086143</v>
      </c>
      <c r="H56" s="100">
        <f>SUM(H46:H55)</f>
        <v>0</v>
      </c>
      <c r="J56" s="100">
        <f>SUM(J46:J55)</f>
        <v>0</v>
      </c>
      <c r="L56" s="100">
        <f>SUM(L46:L55)</f>
        <v>0</v>
      </c>
      <c r="N56" s="99"/>
      <c r="O56" s="99"/>
      <c r="P56" s="16">
        <f>SUM(P46:P55)</f>
        <v>1136086143</v>
      </c>
    </row>
    <row r="58" spans="1:18">
      <c r="B58" s="107"/>
      <c r="C58" s="99"/>
      <c r="P58" s="16"/>
    </row>
    <row r="59" spans="1:18">
      <c r="A59" t="s">
        <v>71</v>
      </c>
      <c r="P59" s="94">
        <f>+P13+P32+P50</f>
        <v>476794132.52899945</v>
      </c>
      <c r="R59" s="115">
        <f>+R13+R32+R50</f>
        <v>1453774714.1759648</v>
      </c>
    </row>
    <row r="60" spans="1:18">
      <c r="B60" s="16"/>
      <c r="C60" s="16"/>
    </row>
    <row r="61" spans="1:18">
      <c r="A61">
        <v>2024</v>
      </c>
      <c r="B61" s="16">
        <f>+P14+P33+P51</f>
        <v>516993843.9261626</v>
      </c>
      <c r="C61" s="16"/>
    </row>
    <row r="62" spans="1:18">
      <c r="A62">
        <v>2025</v>
      </c>
      <c r="B62" s="16">
        <f t="shared" ref="B62:B64" si="13">+P15+P34+P52</f>
        <v>242949528.01422924</v>
      </c>
      <c r="C62" s="16"/>
    </row>
    <row r="63" spans="1:18">
      <c r="A63">
        <v>2026</v>
      </c>
      <c r="B63" s="16">
        <f t="shared" si="13"/>
        <v>755779319.34466398</v>
      </c>
      <c r="C63" s="16"/>
    </row>
    <row r="64" spans="1:18">
      <c r="A64">
        <v>2027</v>
      </c>
      <c r="B64" s="16">
        <f t="shared" si="13"/>
        <v>-61947977.10909088</v>
      </c>
      <c r="C64" s="16"/>
    </row>
    <row r="65" spans="1:14">
      <c r="B65" s="115">
        <f>SUM(B60:B64)</f>
        <v>1453774714.1759648</v>
      </c>
      <c r="C65" s="16"/>
      <c r="D65" s="79" t="s">
        <v>77</v>
      </c>
    </row>
    <row r="68" spans="1:14">
      <c r="A68" s="116" t="s">
        <v>72</v>
      </c>
    </row>
    <row r="69" spans="1:14">
      <c r="B69" s="96">
        <f>+B44</f>
        <v>2019</v>
      </c>
      <c r="C69" s="5"/>
      <c r="D69" s="96">
        <f>+D44</f>
        <v>2020</v>
      </c>
      <c r="E69" s="5"/>
      <c r="F69" s="96">
        <f>+F44</f>
        <v>2021</v>
      </c>
      <c r="H69" s="96">
        <f>+H44</f>
        <v>2022</v>
      </c>
      <c r="J69" s="96">
        <f>+J44</f>
        <v>2023</v>
      </c>
      <c r="L69" s="96">
        <v>2022</v>
      </c>
      <c r="N69" s="96" t="s">
        <v>11</v>
      </c>
    </row>
    <row r="70" spans="1:14">
      <c r="B70" s="16"/>
      <c r="D70" s="16"/>
      <c r="F70" s="16"/>
      <c r="H70" s="16"/>
      <c r="J70" s="16"/>
      <c r="L70" s="16"/>
      <c r="N70" s="16"/>
    </row>
    <row r="71" spans="1:14">
      <c r="A71">
        <f>+A61</f>
        <v>2024</v>
      </c>
      <c r="B71" s="16">
        <f>B15+B34+B52</f>
        <v>0</v>
      </c>
      <c r="D71" s="16">
        <f>D14+D33+D51</f>
        <v>172961227.65106386</v>
      </c>
      <c r="F71" s="16">
        <f>F14+F33+F51</f>
        <v>-451518162.54782617</v>
      </c>
      <c r="H71" s="16">
        <f>H14+H33+H51</f>
        <v>788405784.29565215</v>
      </c>
      <c r="J71" s="16">
        <f>J14+J33+J51</f>
        <v>7144994.5272727162</v>
      </c>
      <c r="L71" s="16">
        <f>L15+L34+L52</f>
        <v>0</v>
      </c>
      <c r="N71" s="16">
        <f>B71+D71+F71+H71+L71+J71</f>
        <v>516993843.92616254</v>
      </c>
    </row>
    <row r="72" spans="1:14">
      <c r="A72">
        <f t="shared" ref="A72:A74" si="14">+A62</f>
        <v>2025</v>
      </c>
      <c r="B72" s="16">
        <f>B16+B35+B53</f>
        <v>0</v>
      </c>
      <c r="D72" s="16">
        <f t="shared" ref="D72:D74" si="15">D15+D34+D52</f>
        <v>0</v>
      </c>
      <c r="F72" s="16">
        <f t="shared" ref="F72:F74" si="16">F15+F34+F52</f>
        <v>-552601250.80869567</v>
      </c>
      <c r="H72" s="16">
        <f t="shared" ref="H72:H74" si="17">H15+H34+H52</f>
        <v>788405784.29565215</v>
      </c>
      <c r="J72" s="16">
        <f t="shared" ref="J72:J74" si="18">J15+J34+J52</f>
        <v>7144994.5272727162</v>
      </c>
      <c r="L72" s="16">
        <f t="shared" ref="L72:L74" si="19">L16+L35+L53</f>
        <v>0</v>
      </c>
      <c r="N72" s="16">
        <f t="shared" ref="N72:N74" si="20">B72+D72+F72+H72+L72+J72</f>
        <v>242949528.01422918</v>
      </c>
    </row>
    <row r="73" spans="1:14">
      <c r="A73">
        <f t="shared" si="14"/>
        <v>2026</v>
      </c>
      <c r="D73" s="16">
        <f t="shared" si="15"/>
        <v>0</v>
      </c>
      <c r="F73" s="16">
        <f t="shared" si="16"/>
        <v>0</v>
      </c>
      <c r="H73" s="16">
        <f t="shared" si="17"/>
        <v>748634324.81739128</v>
      </c>
      <c r="J73" s="16">
        <f t="shared" si="18"/>
        <v>7144994.5272727162</v>
      </c>
      <c r="L73" s="16">
        <f t="shared" si="19"/>
        <v>0</v>
      </c>
      <c r="N73" s="16">
        <f t="shared" si="20"/>
        <v>755779319.34466398</v>
      </c>
    </row>
    <row r="74" spans="1:14">
      <c r="A74">
        <f t="shared" si="14"/>
        <v>2027</v>
      </c>
      <c r="D74" s="16">
        <f t="shared" si="15"/>
        <v>0</v>
      </c>
      <c r="F74" s="16">
        <f t="shared" si="16"/>
        <v>0</v>
      </c>
      <c r="H74" s="16">
        <f t="shared" si="17"/>
        <v>0</v>
      </c>
      <c r="J74" s="16">
        <f t="shared" si="18"/>
        <v>-61947977.10909088</v>
      </c>
      <c r="L74" s="16">
        <f t="shared" si="19"/>
        <v>0</v>
      </c>
      <c r="N74" s="16">
        <f t="shared" si="20"/>
        <v>-61947977.10909088</v>
      </c>
    </row>
    <row r="75" spans="1:14">
      <c r="J75" s="16"/>
      <c r="L75" s="16"/>
      <c r="N75" s="106">
        <f>SUM(N70:N74)</f>
        <v>1453774714.1759648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Alex Simpson</cp:lastModifiedBy>
  <cp:lastPrinted>2023-10-11T16:05:23Z</cp:lastPrinted>
  <dcterms:created xsi:type="dcterms:W3CDTF">2009-09-23T16:56:24Z</dcterms:created>
  <dcterms:modified xsi:type="dcterms:W3CDTF">2023-10-12T17:21:06Z</dcterms:modified>
</cp:coreProperties>
</file>