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75\FY 2022\Schools\"/>
    </mc:Choice>
  </mc:AlternateContent>
  <xr:revisionPtr revIDLastSave="0" documentId="13_ncr:1_{0D3BE0DE-0DE2-4E68-AB8C-47B4A465B5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8" i="7" l="1"/>
  <c r="E20" i="7"/>
  <c r="E40" i="7"/>
  <c r="E25" i="7"/>
  <c r="E28" i="7" l="1"/>
  <c r="H16" i="6" s="1"/>
  <c r="E38" i="7"/>
  <c r="G16" i="6" l="1"/>
  <c r="B25" i="8" s="1"/>
  <c r="K17" i="7"/>
  <c r="H20" i="6" l="1"/>
  <c r="G20" i="6" l="1"/>
  <c r="L23" i="8" s="1"/>
  <c r="G38" i="8"/>
  <c r="B38" i="8" l="1"/>
  <c r="C38" i="8"/>
  <c r="I25" i="7"/>
  <c r="K23" i="7"/>
  <c r="I20" i="7"/>
  <c r="I28" i="7" l="1"/>
  <c r="H15" i="6" l="1"/>
  <c r="C26" i="8" s="1"/>
  <c r="G15" i="6"/>
  <c r="B26" i="8" s="1"/>
  <c r="F74" i="13"/>
  <c r="D74" i="13"/>
  <c r="B73" i="13" l="1"/>
  <c r="C23" i="8" l="1"/>
  <c r="D56" i="13" l="1"/>
  <c r="N55" i="13"/>
  <c r="L55" i="13"/>
  <c r="N54" i="13"/>
  <c r="L54" i="13"/>
  <c r="J54" i="13"/>
  <c r="N53" i="13"/>
  <c r="L53" i="13"/>
  <c r="J53" i="13"/>
  <c r="J52" i="13"/>
  <c r="J51" i="13"/>
  <c r="F51" i="13"/>
  <c r="J50" i="13"/>
  <c r="F50" i="13"/>
  <c r="F49" i="13"/>
  <c r="F48" i="13"/>
  <c r="G48" i="13" s="1"/>
  <c r="B45" i="13"/>
  <c r="B47" i="13" s="1"/>
  <c r="L47" i="13" s="1"/>
  <c r="N37" i="13"/>
  <c r="L37" i="13"/>
  <c r="N36" i="13"/>
  <c r="L36" i="13"/>
  <c r="J36" i="13"/>
  <c r="N35" i="13"/>
  <c r="L35" i="13"/>
  <c r="J35" i="13"/>
  <c r="J34" i="13"/>
  <c r="H34" i="13"/>
  <c r="J33" i="13"/>
  <c r="H33" i="13"/>
  <c r="F33" i="13"/>
  <c r="J32" i="13"/>
  <c r="H32" i="13"/>
  <c r="F32" i="13"/>
  <c r="H31" i="13"/>
  <c r="F31" i="13"/>
  <c r="F30" i="13"/>
  <c r="G30" i="13" s="1"/>
  <c r="D27" i="13"/>
  <c r="D32" i="13" s="1"/>
  <c r="B27" i="13"/>
  <c r="B32" i="13" s="1"/>
  <c r="N17" i="13"/>
  <c r="L17" i="13"/>
  <c r="J17" i="13"/>
  <c r="N16" i="13"/>
  <c r="L16" i="13"/>
  <c r="J16" i="13"/>
  <c r="H16" i="13"/>
  <c r="J15" i="13"/>
  <c r="H15" i="13"/>
  <c r="H73" i="13" s="1"/>
  <c r="F15" i="13"/>
  <c r="J14" i="13"/>
  <c r="H14" i="13"/>
  <c r="H72" i="13" s="1"/>
  <c r="F14" i="13"/>
  <c r="J13" i="13"/>
  <c r="H13" i="13"/>
  <c r="F13" i="13"/>
  <c r="F71" i="13" s="1"/>
  <c r="H12" i="13"/>
  <c r="F12" i="13"/>
  <c r="F11" i="13"/>
  <c r="D8" i="13"/>
  <c r="D11" i="13" s="1"/>
  <c r="B8" i="13"/>
  <c r="B9" i="13" s="1"/>
  <c r="L9" i="13" s="1"/>
  <c r="G49" i="13" l="1"/>
  <c r="G50" i="13" s="1"/>
  <c r="G51" i="13" s="1"/>
  <c r="G31" i="13"/>
  <c r="G32" i="13" s="1"/>
  <c r="H70" i="13"/>
  <c r="I12" i="13"/>
  <c r="I13" i="13" s="1"/>
  <c r="I14" i="13" s="1"/>
  <c r="I15" i="13" s="1"/>
  <c r="I16" i="13" s="1"/>
  <c r="H35" i="13"/>
  <c r="I31" i="13"/>
  <c r="I32" i="13" s="1"/>
  <c r="I33" i="13" s="1"/>
  <c r="I34" i="13" s="1"/>
  <c r="I35" i="13" s="1"/>
  <c r="H71" i="13"/>
  <c r="H74" i="13"/>
  <c r="J74" i="13" s="1"/>
  <c r="B64" i="13"/>
  <c r="J55" i="13"/>
  <c r="J56" i="13" s="1"/>
  <c r="J19" i="13"/>
  <c r="G33" i="13"/>
  <c r="B28" i="13"/>
  <c r="L28" i="13" s="1"/>
  <c r="F72" i="13"/>
  <c r="F70" i="13"/>
  <c r="L15" i="13"/>
  <c r="L32" i="13"/>
  <c r="B30" i="13"/>
  <c r="B31" i="13"/>
  <c r="C9" i="13"/>
  <c r="B12" i="13"/>
  <c r="D30" i="13"/>
  <c r="H19" i="13"/>
  <c r="B29" i="13"/>
  <c r="F19" i="13"/>
  <c r="J37" i="13"/>
  <c r="J38" i="13" s="1"/>
  <c r="H56" i="13"/>
  <c r="B10" i="13"/>
  <c r="B11" i="13"/>
  <c r="L11" i="13" s="1"/>
  <c r="G11" i="13"/>
  <c r="G12" i="13" s="1"/>
  <c r="G13" i="13" s="1"/>
  <c r="G14" i="13" s="1"/>
  <c r="G15" i="13" s="1"/>
  <c r="N15" i="13" s="1"/>
  <c r="B13" i="13"/>
  <c r="D33" i="13"/>
  <c r="D29" i="13"/>
  <c r="H38" i="13"/>
  <c r="F34" i="13"/>
  <c r="G34" i="13" s="1"/>
  <c r="B49" i="13"/>
  <c r="L49" i="13" s="1"/>
  <c r="B50" i="13"/>
  <c r="L50" i="13" s="1"/>
  <c r="B46" i="13"/>
  <c r="C46" i="13" s="1"/>
  <c r="C47" i="13" s="1"/>
  <c r="B48" i="13"/>
  <c r="L48" i="13" s="1"/>
  <c r="D14" i="13"/>
  <c r="D72" i="13" s="1"/>
  <c r="D13" i="13"/>
  <c r="D71" i="13" s="1"/>
  <c r="D12" i="13"/>
  <c r="D70" i="13" s="1"/>
  <c r="D10" i="13"/>
  <c r="D31" i="13"/>
  <c r="F52" i="13"/>
  <c r="L52" i="13" s="1"/>
  <c r="D34" i="13" l="1"/>
  <c r="D73" i="13" s="1"/>
  <c r="L12" i="13"/>
  <c r="L31" i="13"/>
  <c r="B33" i="13"/>
  <c r="L33" i="13" s="1"/>
  <c r="B70" i="13"/>
  <c r="J70" i="13" s="1"/>
  <c r="C28" i="13"/>
  <c r="C29" i="13" s="1"/>
  <c r="B71" i="13"/>
  <c r="J71" i="13" s="1"/>
  <c r="B38" i="13"/>
  <c r="F73" i="13"/>
  <c r="F38" i="13"/>
  <c r="L30" i="13"/>
  <c r="B51" i="13"/>
  <c r="L51" i="13" s="1"/>
  <c r="L34" i="13"/>
  <c r="B63" i="13" s="1"/>
  <c r="B19" i="13"/>
  <c r="L10" i="13"/>
  <c r="C10" i="13"/>
  <c r="L14" i="13"/>
  <c r="C48" i="13"/>
  <c r="N47" i="13"/>
  <c r="D38" i="13"/>
  <c r="L13" i="13"/>
  <c r="B61" i="13" s="1"/>
  <c r="D19" i="13"/>
  <c r="E10" i="13"/>
  <c r="E11" i="13" s="1"/>
  <c r="E12" i="13" s="1"/>
  <c r="E13" i="13" s="1"/>
  <c r="E14" i="13" s="1"/>
  <c r="N14" i="13" s="1"/>
  <c r="L46" i="13"/>
  <c r="E29" i="13"/>
  <c r="E30" i="13" s="1"/>
  <c r="E31" i="13" s="1"/>
  <c r="E32" i="13" s="1"/>
  <c r="E33" i="13" s="1"/>
  <c r="E34" i="13" s="1"/>
  <c r="N34" i="13" s="1"/>
  <c r="L29" i="13"/>
  <c r="F56" i="13"/>
  <c r="G52" i="13"/>
  <c r="N52" i="13" s="1"/>
  <c r="B60" i="13" l="1"/>
  <c r="D1" i="13"/>
  <c r="L38" i="13"/>
  <c r="J73" i="13"/>
  <c r="C30" i="13"/>
  <c r="N30" i="13" s="1"/>
  <c r="N29" i="13"/>
  <c r="D40" i="13"/>
  <c r="B56" i="13"/>
  <c r="B62" i="13"/>
  <c r="B65" i="13" s="1"/>
  <c r="B72" i="13"/>
  <c r="J72" i="13" s="1"/>
  <c r="J75" i="13" s="1"/>
  <c r="D21" i="13"/>
  <c r="L56" i="13"/>
  <c r="N48" i="13"/>
  <c r="C49" i="13"/>
  <c r="N49" i="13" s="1"/>
  <c r="C31" i="13"/>
  <c r="N31" i="13" s="1"/>
  <c r="N10" i="13"/>
  <c r="C11" i="13"/>
  <c r="L19" i="13"/>
  <c r="C32" i="13" l="1"/>
  <c r="C50" i="13"/>
  <c r="N11" i="13"/>
  <c r="C12" i="13"/>
  <c r="N12" i="13" s="1"/>
  <c r="N59" i="13" s="1"/>
  <c r="C51" i="13" l="1"/>
  <c r="N51" i="13" s="1"/>
  <c r="N50" i="13"/>
  <c r="C13" i="13"/>
  <c r="N13" i="13" s="1"/>
  <c r="C33" i="13"/>
  <c r="N33" i="13" s="1"/>
  <c r="N32" i="13"/>
  <c r="G42" i="8" l="1"/>
  <c r="S23" i="7" l="1"/>
  <c r="S17" i="7"/>
  <c r="I38" i="7" l="1"/>
  <c r="G38" i="7"/>
  <c r="K38" i="7" l="1"/>
  <c r="H23" i="6"/>
  <c r="H42" i="8" l="1"/>
  <c r="M38" i="7"/>
  <c r="O38" i="7"/>
  <c r="D6" i="6"/>
  <c r="K20" i="7"/>
  <c r="B22" i="8" s="1"/>
  <c r="A20" i="7"/>
  <c r="G20" i="7"/>
  <c r="M20" i="7"/>
  <c r="O20" i="7"/>
  <c r="Q20" i="7"/>
  <c r="S20" i="7"/>
  <c r="H22" i="8" s="1"/>
  <c r="U20" i="7"/>
  <c r="W20" i="7"/>
  <c r="M10" i="8" s="1"/>
  <c r="K25" i="7"/>
  <c r="S25" i="7"/>
  <c r="G25" i="7"/>
  <c r="M25" i="7"/>
  <c r="O25" i="7"/>
  <c r="Q25" i="7"/>
  <c r="U25" i="7"/>
  <c r="W25" i="7"/>
  <c r="E39" i="7"/>
  <c r="I39" i="7" s="1"/>
  <c r="G40" i="7"/>
  <c r="E41" i="7"/>
  <c r="G41" i="7" s="1"/>
  <c r="E42" i="7"/>
  <c r="I41" i="7" l="1"/>
  <c r="G42" i="7"/>
  <c r="I42" i="7"/>
  <c r="G19" i="6"/>
  <c r="L22" i="8" s="1"/>
  <c r="L27" i="8" s="1"/>
  <c r="H19" i="6"/>
  <c r="M22" i="8" s="1"/>
  <c r="I40" i="7"/>
  <c r="K40" i="7" s="1"/>
  <c r="G28" i="7"/>
  <c r="Q28" i="7"/>
  <c r="M28" i="7"/>
  <c r="K41" i="7"/>
  <c r="W28" i="7"/>
  <c r="G39" i="7"/>
  <c r="K39" i="7" s="1"/>
  <c r="K42" i="7" l="1"/>
  <c r="O42" i="7"/>
  <c r="H18" i="6"/>
  <c r="H23" i="8" s="1"/>
  <c r="G18" i="6"/>
  <c r="G23" i="8" s="1"/>
  <c r="H14" i="6"/>
  <c r="C24" i="8" s="1"/>
  <c r="G14" i="6"/>
  <c r="B24" i="8" s="1"/>
  <c r="H17" i="6"/>
  <c r="H24" i="8" s="1"/>
  <c r="G17" i="6"/>
  <c r="G24" i="8" s="1"/>
  <c r="H13" i="6"/>
  <c r="G13" i="6"/>
  <c r="M42" i="7"/>
  <c r="M39" i="7"/>
  <c r="O39" i="7"/>
  <c r="O40" i="7"/>
  <c r="M40" i="7"/>
  <c r="M41" i="7"/>
  <c r="O41" i="7"/>
  <c r="O43" i="7" l="1"/>
  <c r="O45" i="7" s="1"/>
  <c r="M43" i="7"/>
  <c r="M45" i="7" s="1"/>
  <c r="M11" i="8"/>
  <c r="H24" i="6"/>
  <c r="L11" i="8"/>
  <c r="G24" i="6"/>
  <c r="H28" i="8"/>
  <c r="G28" i="8"/>
  <c r="B29" i="8"/>
  <c r="C29" i="8"/>
  <c r="M14" i="8" l="1"/>
  <c r="B31" i="8"/>
  <c r="H31" i="8"/>
  <c r="J2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<sst xmlns="http://schemas.openxmlformats.org/spreadsheetml/2006/main" count="130" uniqueCount="90">
  <si>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</si>
  <si>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</si>
  <si>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</si>
  <si>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</si>
  <si>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</si>
  <si>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</si>
  <si>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</si>
  <si>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Total Deferred Inflows of Resources Excluding Employer Specific Amounts*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</si>
  <si>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</si>
  <si>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</si>
  <si>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</si>
  <si>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</si>
  <si>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</si>
  <si>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</si>
  <si>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</si>
  <si>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</si>
  <si>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</si>
  <si>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</si>
  <si>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</si>
  <si>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</si>
  <si>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</si>
  <si>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</si>
  <si>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</si>
  <si>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</si>
  <si>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Change Employer portion</t>
  </si>
  <si>
    <t>Proportionate Share of</t>
  </si>
  <si>
    <t>Collective Deferred Outflows</t>
  </si>
  <si>
    <t>Collective Deferred Inflows</t>
  </si>
  <si>
    <t>Collective Pension Expense/Revenue</t>
  </si>
  <si>
    <t>Cash to PERSI</t>
  </si>
  <si>
    <t>Contribution Expense</t>
  </si>
  <si>
    <t>1)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</si>
  <si>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</si>
  <si>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</si>
  <si>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</si>
  <si>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</si>
  <si>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</si>
  <si>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</si>
  <si>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</si>
  <si>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</si>
  <si>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</si>
  <si>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</si>
  <si>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</si>
  <si>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</si>
  <si>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</si>
  <si>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</si>
  <si>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</si>
  <si>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</si>
  <si>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</si>
  <si>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Deferred Outflow of Resources - Assumptions</t>
  </si>
  <si>
    <t>Deferred Inflow of Resources -  Investments</t>
  </si>
  <si>
    <t>Deferred Inflow of Resources - Experience</t>
  </si>
  <si>
    <t>Pension Expense (debit) / Revenue (credit)</t>
  </si>
  <si>
    <t>DOR - Experience</t>
  </si>
  <si>
    <t>Net Pension Liability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</si>
  <si>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</si>
  <si>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</si>
  <si>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</si>
  <si>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</si>
  <si>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</si>
  <si>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</si>
  <si>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</si>
  <si>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</si>
  <si>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</si>
  <si>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</si>
  <si>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</si>
  <si>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</si>
  <si>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</si>
  <si>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</si>
  <si>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</si>
  <si>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</si>
  <si>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Change in Net Pension Liability per allocation report</t>
  </si>
  <si>
    <t>**Add your proportionate share to amount</t>
  </si>
  <si>
    <t>Current Year Expense FY 2017</t>
  </si>
  <si>
    <t>Pension expense / revenue per actuary</t>
  </si>
  <si>
    <t>Deferred Outflow of Resources - Experience</t>
  </si>
  <si>
    <t>Net Pension Liability/(Asset)</t>
  </si>
  <si>
    <t>Net Difference Between Projected and Actual Investment Earnings on OPEB Plan Investments</t>
  </si>
  <si>
    <t>Net Pension Liability (Asset)</t>
  </si>
  <si>
    <t>Plan Pension Expense/ (Expense Offset)</t>
  </si>
  <si>
    <t>FY20</t>
  </si>
  <si>
    <t>Change in DIR per allocation report</t>
  </si>
  <si>
    <t>Deferred Outflow of Resources - Investments</t>
  </si>
  <si>
    <t>FY21</t>
  </si>
  <si>
    <t>FY20 Data</t>
  </si>
  <si>
    <t>FY21 Cumulative Data</t>
  </si>
  <si>
    <t>June 30, 2022 Entry</t>
  </si>
  <si>
    <t>Represent contributions from July 1, 2021 to employer year end</t>
  </si>
  <si>
    <t>T-Account Illustration for Employers with 6/30/22 FYE</t>
  </si>
  <si>
    <t>Using 6/30/21 as the Measurement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</si>
</sst>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40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1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Border="1"/>
    <xf numFmtId="0" fontId="92" fillId="0" borderId="20" xfId="0" applyFont="1" applyBorder="1"/>
    <xf numFmtId="0" fontId="0" fillId="0" borderId="0" xfId="0" applyFill="1"/>
    <xf numFmtId="0" fontId="91" fillId="0" borderId="0" xfId="0" applyFont="1"/>
    <xf numFmtId="0" fontId="0" fillId="0" borderId="0" xfId="0" applyFill="1" applyBorder="1"/>
    <xf numFmtId="0" fontId="0" fillId="0" borderId="20" xfId="0" applyFill="1" applyBorder="1"/>
    <xf numFmtId="0" fontId="0" fillId="0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/>
    <xf numFmtId="0" fontId="96" fillId="0" borderId="0" xfId="0" applyFont="1" applyBorder="1" applyAlignment="1">
      <alignment horizontal="center"/>
    </xf>
    <xf numFmtId="0" fontId="95" fillId="0" borderId="0" xfId="0" applyFont="1" applyBorder="1"/>
    <xf numFmtId="0" fontId="92" fillId="0" borderId="20" xfId="0" applyFont="1" applyFill="1" applyBorder="1"/>
    <xf numFmtId="0" fontId="92" fillId="0" borderId="0" xfId="0" applyFont="1" applyBorder="1"/>
    <xf numFmtId="41" fontId="0" fillId="0" borderId="0" xfId="0" applyNumberFormat="1" applyFill="1" applyAlignment="1">
      <alignment horizontal="right"/>
    </xf>
    <xf numFmtId="0" fontId="93" fillId="0" borderId="0" xfId="0" applyFont="1" applyFill="1"/>
    <xf numFmtId="0" fontId="91" fillId="0" borderId="0" xfId="0" applyFont="1" applyFill="1"/>
    <xf numFmtId="42" fontId="0" fillId="0" borderId="0" xfId="0" applyNumberFormat="1" applyBorder="1"/>
    <xf numFmtId="165" fontId="87" fillId="0" borderId="0" xfId="784" applyNumberFormat="1" applyFont="1" applyBorder="1"/>
    <xf numFmtId="0" fontId="95" fillId="0" borderId="0" xfId="0" applyFont="1" applyBorder="1" applyAlignment="1">
      <alignment horizontal="center" wrapText="1"/>
    </xf>
    <xf numFmtId="165" fontId="0" fillId="0" borderId="0" xfId="0" applyNumberFormat="1" applyBorder="1"/>
    <xf numFmtId="44" fontId="0" fillId="0" borderId="0" xfId="0" applyNumberFormat="1" applyBorder="1"/>
    <xf numFmtId="164" fontId="0" fillId="0" borderId="0" xfId="0" applyNumberFormat="1" applyBorder="1"/>
    <xf numFmtId="0" fontId="0" fillId="0" borderId="0" xfId="0"/>
    <xf numFmtId="0" fontId="0" fillId="0" borderId="0" xfId="0"/>
    <xf numFmtId="0" fontId="98" fillId="0" borderId="0" xfId="0" applyFont="1" applyBorder="1" applyAlignment="1"/>
    <xf numFmtId="0" fontId="98" fillId="0" borderId="0" xfId="0" applyFont="1" applyBorder="1" applyAlignment="1">
      <alignment horizontal="center"/>
    </xf>
    <xf numFmtId="0" fontId="0" fillId="0" borderId="0" xfId="0" applyFill="1"/>
    <xf numFmtId="0" fontId="95" fillId="0" borderId="20" xfId="0" applyFont="1" applyBorder="1" applyAlignment="1">
      <alignment horizontal="center" wrapText="1"/>
    </xf>
    <xf numFmtId="0" fontId="102" fillId="0" borderId="20" xfId="0" applyFont="1" applyFill="1" applyBorder="1"/>
    <xf numFmtId="0" fontId="102" fillId="0" borderId="0" xfId="0" applyFont="1" applyBorder="1" applyAlignment="1">
      <alignment horizontal="center"/>
    </xf>
    <xf numFmtId="0" fontId="102" fillId="0" borderId="0" xfId="0" applyFont="1"/>
    <xf numFmtId="0" fontId="99" fillId="0" borderId="0" xfId="1731" applyFont="1" applyFill="1" applyBorder="1"/>
    <xf numFmtId="41" fontId="99" fillId="0" borderId="0" xfId="1731" applyNumberFormat="1" applyFont="1" applyFill="1" applyBorder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42" fontId="0" fillId="0" borderId="0" xfId="0" applyNumberFormat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 applyFill="1"/>
    <xf numFmtId="0" fontId="103" fillId="0" borderId="0" xfId="0" applyFont="1" applyBorder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Border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165" fontId="100" fillId="0" borderId="0" xfId="729" applyNumberFormat="1" applyFont="1" applyFill="1"/>
    <xf numFmtId="42" fontId="0" fillId="0" borderId="19" xfId="0" applyNumberFormat="1" applyBorder="1"/>
    <xf numFmtId="165" fontId="106" fillId="0" borderId="0" xfId="729" applyNumberFormat="1" applyFont="1"/>
    <xf numFmtId="0" fontId="0" fillId="0" borderId="0" xfId="0"/>
    <xf numFmtId="0" fontId="0" fillId="0" borderId="0" xfId="0"/>
    <xf numFmtId="0" fontId="0" fillId="0" borderId="0" xfId="0" applyFill="1"/>
    <xf numFmtId="165" fontId="0" fillId="0" borderId="0" xfId="0" applyNumberFormat="1"/>
    <xf numFmtId="0" fontId="0" fillId="0" borderId="29" xfId="0" applyBorder="1"/>
    <xf numFmtId="0" fontId="0" fillId="79" borderId="0" xfId="0" applyFill="1"/>
    <xf numFmtId="165" fontId="0" fillId="0" borderId="0" xfId="0" applyNumberFormat="1" applyFill="1"/>
    <xf numFmtId="0" fontId="98" fillId="0" borderId="0" xfId="0" applyFont="1" applyAlignment="1">
      <alignment horizontal="center"/>
    </xf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2" fontId="95" fillId="0" borderId="31" xfId="845" applyNumberFormat="1" applyFont="1" applyBorder="1"/>
    <xf numFmtId="41" fontId="99" fillId="80" borderId="0" xfId="1731" applyNumberFormat="1" applyFont="1" applyFill="1" applyBorder="1"/>
    <xf numFmtId="191" fontId="99" fillId="80" borderId="0" xfId="2358" applyNumberFormat="1" applyFont="1" applyFill="1" applyBorder="1"/>
    <xf numFmtId="0" fontId="0" fillId="80" borderId="0" xfId="0" applyFill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0" fontId="0" fillId="0" borderId="20" xfId="0" applyBorder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165" fontId="131" fillId="81" borderId="0" xfId="0" applyNumberFormat="1" applyFont="1" applyFill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NumberFormat="1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0" borderId="0" xfId="2755" applyNumberFormat="1" applyFont="1" applyFill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NumberFormat="1" applyFont="1" applyBorder="1"/>
    <xf numFmtId="165" fontId="0" fillId="80" borderId="20" xfId="2755" applyNumberFormat="1" applyFont="1" applyFill="1" applyBorder="1"/>
    <xf numFmtId="165" fontId="0" fillId="0" borderId="20" xfId="0" applyNumberFormat="1" applyBorder="1"/>
    <xf numFmtId="43" fontId="0" fillId="0" borderId="0" xfId="2755" applyNumberFormat="1" applyFont="1" applyBorder="1"/>
    <xf numFmtId="165" fontId="0" fillId="82" borderId="0" xfId="2755" applyNumberFormat="1" applyFont="1" applyFill="1"/>
    <xf numFmtId="43" fontId="0" fillId="80" borderId="0" xfId="2755" applyNumberFormat="1" applyFont="1" applyFill="1"/>
    <xf numFmtId="43" fontId="0" fillId="0" borderId="0" xfId="2755" applyNumberFormat="1" applyFont="1" applyFill="1" applyBorder="1"/>
    <xf numFmtId="165" fontId="0" fillId="82" borderId="0" xfId="2755" applyNumberFormat="1" applyFont="1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82" borderId="0" xfId="0" applyFill="1" applyBorder="1" applyAlignment="1">
      <alignment horizontal="right"/>
    </xf>
    <xf numFmtId="165" fontId="131" fillId="83" borderId="0" xfId="0" applyNumberFormat="1" applyFont="1" applyFill="1"/>
    <xf numFmtId="165" fontId="0" fillId="0" borderId="0" xfId="0" applyNumberFormat="1" applyFill="1" applyBorder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NumberFormat="1" applyFont="1" applyFill="1"/>
    <xf numFmtId="0" fontId="0" fillId="81" borderId="0" xfId="0" applyFill="1" applyAlignment="1">
      <alignment horizontal="center" wrapText="1"/>
    </xf>
    <xf numFmtId="0" fontId="131" fillId="81" borderId="0" xfId="0" applyFont="1" applyFill="1" applyAlignment="1">
      <alignment horizontal="center" wrapText="1"/>
    </xf>
    <xf numFmtId="0" fontId="131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5" fillId="0" borderId="0" xfId="0" applyFont="1" applyAlignment="1">
      <alignment horizontal="left"/>
    </xf>
    <xf numFmtId="0" fontId="135" fillId="0" borderId="0" xfId="0" applyFont="1" applyAlignment="1">
      <alignment horizontal="left" wrapText="1"/>
    </xf>
    <xf numFmtId="0" fontId="137" fillId="0" borderId="20" xfId="0" applyFont="1" applyFill="1" applyBorder="1"/>
    <xf numFmtId="165" fontId="133" fillId="0" borderId="34" xfId="729" applyNumberFormat="1" applyFont="1" applyBorder="1"/>
    <xf numFmtId="165" fontId="132" fillId="0" borderId="0" xfId="2755" applyNumberFormat="1" applyFont="1"/>
    <xf numFmtId="165" fontId="132" fillId="0" borderId="0" xfId="2755" applyNumberFormat="1" applyFont="1" applyFill="1"/>
    <xf numFmtId="164" fontId="0" fillId="0" borderId="0" xfId="0" applyNumberFormat="1" applyFill="1" applyBorder="1"/>
    <xf numFmtId="42" fontId="95" fillId="0" borderId="31" xfId="845" applyNumberFormat="1" applyFont="1" applyFill="1" applyBorder="1"/>
    <xf numFmtId="164" fontId="0" fillId="0" borderId="24" xfId="0" applyNumberFormat="1" applyFill="1" applyBorder="1"/>
    <xf numFmtId="164" fontId="106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49" fontId="129" fillId="0" borderId="0" xfId="0" applyNumberFormat="1" applyFont="1" applyAlignment="1">
      <alignment wrapText="1"/>
    </xf>
    <xf numFmtId="164" fontId="0" fillId="81" borderId="0" xfId="0" applyNumberFormat="1" applyFill="1"/>
    <xf numFmtId="0" fontId="92" fillId="0" borderId="0" xfId="0" applyFont="1" applyFill="1" applyBorder="1"/>
    <xf numFmtId="0" fontId="102" fillId="0" borderId="0" xfId="0" applyFont="1" applyFill="1" applyBorder="1"/>
    <xf numFmtId="0" fontId="129" fillId="0" borderId="0" xfId="0" applyFont="1" applyFill="1" applyBorder="1"/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98" fillId="0" borderId="0" xfId="0" applyFont="1" applyFill="1" applyBorder="1" applyAlignment="1">
      <alignment horizontal="center"/>
    </xf>
    <xf numFmtId="0" fontId="0" fillId="0" borderId="29" xfId="0" applyFill="1" applyBorder="1"/>
    <xf numFmtId="0" fontId="103" fillId="0" borderId="0" xfId="0" applyFont="1" applyFill="1" applyBorder="1" applyAlignment="1">
      <alignment horizontal="center"/>
    </xf>
    <xf numFmtId="0" fontId="103" fillId="0" borderId="29" xfId="0" applyFont="1" applyFill="1" applyBorder="1"/>
    <xf numFmtId="165" fontId="100" fillId="0" borderId="0" xfId="729" applyNumberFormat="1" applyFont="1" applyFill="1" applyBorder="1"/>
    <xf numFmtId="165" fontId="106" fillId="0" borderId="0" xfId="809" applyNumberFormat="1" applyFont="1" applyFill="1" applyBorder="1"/>
    <xf numFmtId="0" fontId="0" fillId="0" borderId="50" xfId="0" applyFill="1" applyBorder="1"/>
    <xf numFmtId="165" fontId="0" fillId="0" borderId="20" xfId="0" applyNumberFormat="1" applyFill="1" applyBorder="1"/>
    <xf numFmtId="0" fontId="0" fillId="0" borderId="30" xfId="0" applyFill="1" applyBorder="1"/>
    <xf numFmtId="0" fontId="95" fillId="0" borderId="30" xfId="0" applyFont="1" applyFill="1" applyBorder="1" applyAlignment="1">
      <alignment horizontal="center" wrapText="1"/>
    </xf>
    <xf numFmtId="164" fontId="0" fillId="0" borderId="0" xfId="0" applyNumberFormat="1"/>
    <xf numFmtId="10" fontId="0" fillId="0" borderId="0" xfId="2336" applyNumberFormat="1" applyFont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35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Border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30" fillId="0" borderId="0" xfId="0" applyFont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tabSelected="1" workbookViewId="0">
      <selection activeCell="I9" sqref="I9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4.7109375" customWidth="1"/>
    <col min="6" max="6" width="4" customWidth="1"/>
    <col min="7" max="7" width="12.7109375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style="24" customWidth="1"/>
    <col min="21" max="21" width="14.85546875" bestFit="1" customWidth="1"/>
    <col min="23" max="23" width="15.42578125" customWidth="1"/>
    <col min="24" max="24" width="14.140625" bestFit="1" customWidth="1"/>
  </cols>
  <sheetData>
    <row r="1" spans="1:23" s="24" customFormat="1" ht="36" customHeight="1">
      <c r="A1" s="177" t="s">
        <v>41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</row>
    <row r="2" spans="1:23" s="24" customFormat="1"/>
    <row r="3" spans="1:23">
      <c r="A3" s="31" t="s">
        <v>17</v>
      </c>
    </row>
    <row r="4" spans="1:23" s="24" customFormat="1">
      <c r="A4" s="31"/>
    </row>
    <row r="5" spans="1:23" s="24" customFormat="1">
      <c r="A5" s="31"/>
      <c r="I5" s="76" t="s">
        <v>83</v>
      </c>
      <c r="K5" s="76" t="s">
        <v>83</v>
      </c>
      <c r="M5" s="76" t="s">
        <v>80</v>
      </c>
      <c r="O5" s="76" t="s">
        <v>80</v>
      </c>
    </row>
    <row r="6" spans="1:23">
      <c r="A6" s="1"/>
      <c r="B6" s="1"/>
      <c r="C6" s="1"/>
      <c r="D6" s="1"/>
      <c r="E6" s="1"/>
      <c r="F6" s="1"/>
      <c r="G6" s="1"/>
      <c r="H6" s="1"/>
      <c r="I6" s="26" t="s">
        <v>10</v>
      </c>
      <c r="J6" s="1"/>
      <c r="K6" s="64" t="s">
        <v>11</v>
      </c>
      <c r="L6" s="9"/>
      <c r="M6" s="26" t="s">
        <v>10</v>
      </c>
      <c r="N6" s="9"/>
      <c r="O6" s="64" t="s">
        <v>11</v>
      </c>
      <c r="P6" s="9"/>
      <c r="Q6" s="9"/>
      <c r="R6" s="9"/>
      <c r="S6" s="9"/>
      <c r="U6" s="9"/>
    </row>
    <row r="7" spans="1:23">
      <c r="A7" s="1"/>
      <c r="B7" s="1"/>
      <c r="C7" s="1"/>
      <c r="D7" s="1"/>
      <c r="E7" s="1"/>
      <c r="F7" s="1"/>
      <c r="G7" s="1"/>
      <c r="H7" s="1"/>
      <c r="I7" s="26" t="s">
        <v>11</v>
      </c>
      <c r="J7" s="1"/>
      <c r="K7" s="64" t="s">
        <v>12</v>
      </c>
      <c r="L7" s="9"/>
      <c r="M7" s="26" t="s">
        <v>11</v>
      </c>
      <c r="N7" s="9"/>
      <c r="O7" s="64" t="s">
        <v>12</v>
      </c>
      <c r="P7" s="9"/>
      <c r="Q7" s="9"/>
      <c r="R7" s="9"/>
      <c r="S7" s="9"/>
      <c r="U7" s="9"/>
    </row>
    <row r="8" spans="1:23">
      <c r="A8" s="26" t="s">
        <v>11</v>
      </c>
      <c r="B8" s="26"/>
      <c r="C8" s="26"/>
      <c r="D8" s="26"/>
      <c r="E8" s="26"/>
      <c r="F8" s="26"/>
      <c r="G8" s="26"/>
      <c r="H8" s="25"/>
      <c r="I8" s="26" t="s">
        <v>8</v>
      </c>
      <c r="J8" s="1"/>
      <c r="K8" s="64" t="s">
        <v>13</v>
      </c>
      <c r="L8" s="9"/>
      <c r="M8" s="26" t="s">
        <v>8</v>
      </c>
      <c r="N8" s="9"/>
      <c r="O8" s="64" t="s">
        <v>13</v>
      </c>
      <c r="P8" s="9"/>
      <c r="Q8" s="9"/>
      <c r="R8" s="9"/>
      <c r="S8" s="9"/>
      <c r="U8" s="9"/>
    </row>
    <row r="9" spans="1:23">
      <c r="A9" s="32" t="s">
        <v>15</v>
      </c>
      <c r="B9" s="5"/>
      <c r="C9" s="5"/>
      <c r="D9" s="5"/>
      <c r="E9" s="5"/>
      <c r="F9" s="5"/>
      <c r="G9" s="5"/>
      <c r="H9" s="5"/>
      <c r="I9" s="80">
        <v>13719</v>
      </c>
      <c r="J9" s="5"/>
      <c r="K9" s="81">
        <v>1.5300590000000001E-3</v>
      </c>
      <c r="L9" s="70"/>
      <c r="M9" s="80">
        <v>13719</v>
      </c>
      <c r="N9" s="5"/>
      <c r="O9" s="81">
        <v>1.5300590000000001E-3</v>
      </c>
      <c r="P9" s="23"/>
      <c r="Q9" s="23"/>
      <c r="R9" s="23"/>
      <c r="S9" s="23"/>
      <c r="U9" s="23"/>
    </row>
    <row r="10" spans="1:23" s="27" customFormat="1">
      <c r="A10" s="32"/>
      <c r="B10" s="5"/>
      <c r="C10" s="5"/>
      <c r="D10" s="5"/>
      <c r="E10" s="5"/>
      <c r="F10" s="5"/>
      <c r="G10" s="5"/>
      <c r="H10" s="5"/>
      <c r="I10" s="33"/>
      <c r="J10" s="5"/>
      <c r="K10" s="34"/>
    </row>
    <row r="11" spans="1:23" s="27" customFormat="1">
      <c r="A11" s="32"/>
      <c r="B11" s="5"/>
      <c r="C11" s="5"/>
      <c r="D11" s="5"/>
      <c r="E11" s="5"/>
      <c r="F11" s="5"/>
      <c r="G11" s="5"/>
      <c r="H11" s="5"/>
      <c r="I11" s="33"/>
      <c r="J11" s="5"/>
      <c r="K11" s="34"/>
      <c r="M11" s="71"/>
    </row>
    <row r="12" spans="1:23" s="27" customFormat="1">
      <c r="A12" s="32"/>
      <c r="B12" s="5"/>
      <c r="C12" s="5"/>
      <c r="D12" s="5"/>
      <c r="E12" s="5"/>
      <c r="F12" s="5"/>
      <c r="G12" s="5"/>
      <c r="H12" s="5"/>
      <c r="I12" s="33"/>
      <c r="J12" s="5"/>
      <c r="K12" s="34"/>
    </row>
    <row r="13" spans="1:23" ht="15.75" thickBot="1">
      <c r="A13" s="31" t="s">
        <v>18</v>
      </c>
      <c r="B13" s="1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U13" s="9"/>
    </row>
    <row r="14" spans="1:23">
      <c r="A14" s="41"/>
      <c r="B14" s="42"/>
      <c r="C14" s="43"/>
      <c r="D14" s="43"/>
      <c r="E14" s="174" t="s">
        <v>2</v>
      </c>
      <c r="F14" s="175"/>
      <c r="G14" s="175"/>
      <c r="H14" s="175"/>
      <c r="I14" s="175"/>
      <c r="J14" s="175"/>
      <c r="K14" s="176"/>
      <c r="L14" s="44"/>
      <c r="M14" s="174" t="s">
        <v>3</v>
      </c>
      <c r="N14" s="175"/>
      <c r="O14" s="175"/>
      <c r="P14" s="175"/>
      <c r="Q14" s="175"/>
      <c r="R14" s="175"/>
      <c r="S14" s="176"/>
      <c r="T14" s="43"/>
      <c r="U14" s="43"/>
      <c r="V14" s="43"/>
      <c r="W14" s="45"/>
    </row>
    <row r="15" spans="1:23" ht="18" customHeight="1">
      <c r="A15" s="46"/>
      <c r="B15" s="1"/>
      <c r="C15" s="11"/>
      <c r="D15" s="11"/>
      <c r="E15" s="10"/>
      <c r="F15" s="10"/>
      <c r="G15" s="10"/>
      <c r="H15" s="10"/>
      <c r="I15" s="10"/>
      <c r="J15" s="10"/>
      <c r="K15" s="10"/>
      <c r="L15" s="11"/>
      <c r="M15" s="10"/>
      <c r="N15" s="10"/>
      <c r="O15" s="10"/>
      <c r="P15" s="10"/>
      <c r="Q15" s="10"/>
      <c r="R15" s="10"/>
      <c r="S15" s="10"/>
      <c r="T15" s="11"/>
      <c r="U15" s="11"/>
      <c r="V15" s="11"/>
      <c r="W15" s="73"/>
    </row>
    <row r="16" spans="1:23" ht="90" customHeight="1">
      <c r="A16" s="46"/>
      <c r="B16" s="1"/>
      <c r="C16" s="19"/>
      <c r="D16" s="11"/>
      <c r="E16" s="19" t="s">
        <v>77</v>
      </c>
      <c r="F16" s="11"/>
      <c r="G16" s="28" t="s">
        <v>5</v>
      </c>
      <c r="H16" s="19"/>
      <c r="I16" s="19" t="s">
        <v>4</v>
      </c>
      <c r="J16" s="19"/>
      <c r="K16" s="28" t="s">
        <v>6</v>
      </c>
      <c r="L16" s="11"/>
      <c r="M16" s="28" t="s">
        <v>77</v>
      </c>
      <c r="N16" s="11"/>
      <c r="O16" s="28" t="s">
        <v>5</v>
      </c>
      <c r="P16" s="11"/>
      <c r="Q16" s="28" t="s">
        <v>4</v>
      </c>
      <c r="R16" s="11"/>
      <c r="S16" s="28" t="s">
        <v>7</v>
      </c>
      <c r="T16" s="11"/>
      <c r="U16" s="28" t="s">
        <v>79</v>
      </c>
      <c r="V16" s="28"/>
      <c r="W16" s="171" t="s">
        <v>76</v>
      </c>
    </row>
    <row r="17" spans="1:26" ht="15.75" thickBot="1">
      <c r="A17" s="46" t="s">
        <v>84</v>
      </c>
      <c r="B17" s="1"/>
      <c r="C17" s="137"/>
      <c r="D17" s="11"/>
      <c r="E17" s="77">
        <v>3886023</v>
      </c>
      <c r="F17" s="1"/>
      <c r="G17" s="77">
        <v>288983</v>
      </c>
      <c r="H17" s="147"/>
      <c r="I17" s="77">
        <v>12946092</v>
      </c>
      <c r="J17" s="1"/>
      <c r="K17" s="38">
        <f>SUM(E17:J17)</f>
        <v>17121098</v>
      </c>
      <c r="L17" s="1"/>
      <c r="M17" s="78">
        <v>0</v>
      </c>
      <c r="N17" s="1"/>
      <c r="O17" s="78">
        <v>31498127</v>
      </c>
      <c r="P17" s="1"/>
      <c r="Q17" s="77">
        <v>0</v>
      </c>
      <c r="R17" s="1"/>
      <c r="S17" s="38">
        <f>SUM(M17:Q17)</f>
        <v>31498127</v>
      </c>
      <c r="T17" s="1"/>
      <c r="U17" s="38">
        <v>952973</v>
      </c>
      <c r="V17" s="22"/>
      <c r="W17" s="79">
        <v>-123130586</v>
      </c>
      <c r="X17" s="172"/>
    </row>
    <row r="18" spans="1:26" ht="15.75" thickTop="1">
      <c r="A18" s="46"/>
      <c r="B18" s="1"/>
      <c r="C18" s="18"/>
      <c r="D18" s="1"/>
      <c r="E18" s="18"/>
      <c r="F18" s="18"/>
      <c r="G18" s="18"/>
      <c r="H18" s="18"/>
      <c r="I18" s="18"/>
      <c r="J18" s="1"/>
      <c r="K18" s="20"/>
      <c r="L18" s="1"/>
      <c r="M18" s="18"/>
      <c r="N18" s="1"/>
      <c r="O18" s="1"/>
      <c r="P18" s="1"/>
      <c r="Q18" s="1"/>
      <c r="R18" s="1"/>
      <c r="S18" s="20"/>
      <c r="T18" s="1"/>
      <c r="U18" s="20"/>
      <c r="V18" s="20"/>
      <c r="W18" s="73"/>
    </row>
    <row r="19" spans="1:26">
      <c r="A19" s="46"/>
      <c r="B19" s="1"/>
      <c r="C19" s="1"/>
      <c r="D19" s="2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7"/>
      <c r="V19" s="17"/>
      <c r="W19" s="73"/>
    </row>
    <row r="20" spans="1:26">
      <c r="A20" s="47" t="str">
        <f>A9</f>
        <v>Employer A</v>
      </c>
      <c r="B20" s="30" t="s">
        <v>16</v>
      </c>
      <c r="C20" s="22"/>
      <c r="D20" s="22"/>
      <c r="E20" s="22">
        <f>ROUND((E17*$O$9),0)</f>
        <v>5946</v>
      </c>
      <c r="F20" s="22"/>
      <c r="G20" s="22">
        <f>ROUND((G17*$O$9),0)</f>
        <v>442</v>
      </c>
      <c r="H20" s="22"/>
      <c r="I20" s="22">
        <f>ROUND((I17*$O$9),0)</f>
        <v>19808</v>
      </c>
      <c r="J20" s="22"/>
      <c r="K20" s="22">
        <f>ROUND((K17*$O$9),0)</f>
        <v>26196</v>
      </c>
      <c r="L20" s="22"/>
      <c r="M20" s="22">
        <f>ROUND((M17*$O$9),0)</f>
        <v>0</v>
      </c>
      <c r="N20" s="22"/>
      <c r="O20" s="22">
        <f>ROUND((O17*$O$9),0)</f>
        <v>48194</v>
      </c>
      <c r="P20" s="22"/>
      <c r="Q20" s="22">
        <f>ROUND((Q17*$O$9),0)</f>
        <v>0</v>
      </c>
      <c r="R20" s="22"/>
      <c r="S20" s="22">
        <f>ROUND((S17*$O$9),0)</f>
        <v>48194</v>
      </c>
      <c r="T20" s="22"/>
      <c r="U20" s="22">
        <f>ROUND((U17*$O$9),0)</f>
        <v>1458</v>
      </c>
      <c r="V20" s="22"/>
      <c r="W20" s="48">
        <f>ROUND((W17*$O$9),0)</f>
        <v>-188397</v>
      </c>
    </row>
    <row r="21" spans="1:26">
      <c r="A21" s="46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22"/>
      <c r="V21" s="22"/>
      <c r="W21" s="73"/>
    </row>
    <row r="22" spans="1:26" s="24" customFormat="1">
      <c r="A22" s="46"/>
      <c r="B22" s="1"/>
      <c r="C22" s="19"/>
      <c r="D22" s="1"/>
      <c r="E22" s="36"/>
      <c r="F22" s="1"/>
      <c r="G22" s="36"/>
      <c r="H22" s="36"/>
      <c r="I22" s="36"/>
      <c r="J22" s="1"/>
      <c r="K22" s="35"/>
      <c r="L22" s="1"/>
      <c r="M22" s="1"/>
      <c r="N22" s="1"/>
      <c r="O22" s="1"/>
      <c r="P22" s="1"/>
      <c r="Q22" s="1"/>
      <c r="R22" s="1"/>
      <c r="S22" s="1"/>
      <c r="T22" s="1"/>
      <c r="U22" s="22"/>
      <c r="V22" s="22"/>
      <c r="W22" s="73"/>
    </row>
    <row r="23" spans="1:26" s="24" customFormat="1" ht="15.75" thickBot="1">
      <c r="A23" s="46" t="s">
        <v>85</v>
      </c>
      <c r="B23" s="1"/>
      <c r="C23" s="17"/>
      <c r="D23" s="1"/>
      <c r="E23" s="77"/>
      <c r="F23" s="5"/>
      <c r="G23" s="77">
        <v>17056471</v>
      </c>
      <c r="H23" s="147"/>
      <c r="I23" s="77">
        <v>20720661</v>
      </c>
      <c r="J23" s="5"/>
      <c r="K23" s="146">
        <f>SUM(E23:J23)</f>
        <v>37777132</v>
      </c>
      <c r="L23" s="5"/>
      <c r="M23" s="77">
        <v>38820724</v>
      </c>
      <c r="N23" s="5"/>
      <c r="O23" s="146">
        <v>27511022</v>
      </c>
      <c r="P23" s="5"/>
      <c r="Q23" s="77">
        <v>0</v>
      </c>
      <c r="R23" s="5"/>
      <c r="S23" s="146">
        <f>SUM(M23:Q23)</f>
        <v>66331746</v>
      </c>
      <c r="T23" s="5"/>
      <c r="U23" s="146">
        <v>-7915890</v>
      </c>
      <c r="V23" s="144"/>
      <c r="W23" s="145">
        <v>-145220424</v>
      </c>
      <c r="Z23" s="37"/>
    </row>
    <row r="24" spans="1:26" s="24" customFormat="1" ht="15.75" thickTop="1">
      <c r="A24" s="46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22"/>
      <c r="V24" s="22"/>
      <c r="W24" s="73"/>
    </row>
    <row r="25" spans="1:26" s="24" customFormat="1">
      <c r="A25" s="47" t="s">
        <v>48</v>
      </c>
      <c r="B25" s="30"/>
      <c r="C25" s="22"/>
      <c r="D25" s="1"/>
      <c r="E25" s="22">
        <f>ROUND((E23*$K$9),0)</f>
        <v>0</v>
      </c>
      <c r="F25" s="1"/>
      <c r="G25" s="22">
        <f>ROUND((G23*$K$9),0)</f>
        <v>26097</v>
      </c>
      <c r="H25" s="22"/>
      <c r="I25" s="22">
        <f>ROUND((I23*$K$9),0)</f>
        <v>31704</v>
      </c>
      <c r="J25" s="1"/>
      <c r="K25" s="22">
        <f>ROUND((K23*$K$9),0)</f>
        <v>57801</v>
      </c>
      <c r="L25" s="1"/>
      <c r="M25" s="22">
        <f>ROUND((M23*$K$9),0)</f>
        <v>59398</v>
      </c>
      <c r="N25" s="1"/>
      <c r="O25" s="22">
        <f>ROUND((O23*$K$9),0)</f>
        <v>42093</v>
      </c>
      <c r="P25" s="1"/>
      <c r="Q25" s="22">
        <f>ROUND((Q23*$K$9),0)</f>
        <v>0</v>
      </c>
      <c r="R25" s="1"/>
      <c r="S25" s="22">
        <f>ROUND((S23*$K$9),0)</f>
        <v>101491</v>
      </c>
      <c r="T25" s="1"/>
      <c r="U25" s="22">
        <f>ROUND((U23*$K$9),0)</f>
        <v>-12112</v>
      </c>
      <c r="V25" s="22"/>
      <c r="W25" s="48">
        <f>ROUND((W23*$K$9),0)</f>
        <v>-222196</v>
      </c>
    </row>
    <row r="26" spans="1:26" s="24" customFormat="1">
      <c r="A26" s="46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22"/>
      <c r="V26" s="22"/>
      <c r="W26" s="73"/>
    </row>
    <row r="27" spans="1:26" s="24" customFormat="1">
      <c r="A27" s="4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22"/>
      <c r="V27" s="22"/>
      <c r="W27" s="49"/>
    </row>
    <row r="28" spans="1:26" s="24" customFormat="1">
      <c r="A28" s="46" t="s">
        <v>24</v>
      </c>
      <c r="B28" s="1"/>
      <c r="C28" s="1"/>
      <c r="D28" s="1"/>
      <c r="E28" s="22">
        <f>E25-E20</f>
        <v>-5946</v>
      </c>
      <c r="F28" s="1"/>
      <c r="G28" s="22">
        <f>G25-G20</f>
        <v>25655</v>
      </c>
      <c r="H28" s="22"/>
      <c r="I28" s="22">
        <f>+I25-I20</f>
        <v>11896</v>
      </c>
      <c r="J28" s="1"/>
      <c r="K28" s="1"/>
      <c r="L28" s="1"/>
      <c r="M28" s="22">
        <f>M25-M20</f>
        <v>59398</v>
      </c>
      <c r="N28" s="1"/>
      <c r="O28" s="22">
        <f>O25-O20</f>
        <v>-6101</v>
      </c>
      <c r="P28" s="1"/>
      <c r="Q28" s="22">
        <f>Q25-Q20</f>
        <v>0</v>
      </c>
      <c r="R28" s="1"/>
      <c r="S28" s="22"/>
      <c r="T28" s="1"/>
      <c r="U28" s="22"/>
      <c r="V28" s="22"/>
      <c r="W28" s="48">
        <f>+W25-W20</f>
        <v>-33799</v>
      </c>
    </row>
    <row r="29" spans="1:26">
      <c r="A29" s="4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2"/>
      <c r="V29" s="22"/>
      <c r="W29" s="73"/>
    </row>
    <row r="30" spans="1:26" ht="15.75" thickBot="1">
      <c r="A30" s="50"/>
      <c r="B30" s="51"/>
      <c r="C30" s="51"/>
      <c r="D30" s="51"/>
      <c r="E30" s="51"/>
      <c r="F30" s="51"/>
      <c r="G30" s="67"/>
      <c r="H30" s="67"/>
      <c r="I30" s="67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/>
    </row>
    <row r="33" spans="1:18" s="5" customFormat="1" ht="15.75" thickBot="1">
      <c r="A33" s="156"/>
      <c r="R33" s="157"/>
    </row>
    <row r="34" spans="1:18" s="5" customFormat="1">
      <c r="A34" s="158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60"/>
    </row>
    <row r="35" spans="1:18" s="5" customFormat="1">
      <c r="A35" s="161"/>
      <c r="E35" s="162" t="s">
        <v>80</v>
      </c>
      <c r="G35" s="162" t="s">
        <v>80</v>
      </c>
      <c r="I35" s="162" t="s">
        <v>83</v>
      </c>
      <c r="Q35" s="163"/>
    </row>
    <row r="36" spans="1:18" s="5" customFormat="1">
      <c r="A36" s="161"/>
      <c r="E36" s="164" t="s">
        <v>36</v>
      </c>
      <c r="G36" s="164" t="s">
        <v>13</v>
      </c>
      <c r="I36" s="164" t="s">
        <v>13</v>
      </c>
      <c r="Q36" s="163"/>
    </row>
    <row r="37" spans="1:18" s="5" customFormat="1">
      <c r="A37" s="161"/>
      <c r="E37" s="164" t="s">
        <v>37</v>
      </c>
      <c r="G37" s="164" t="s">
        <v>38</v>
      </c>
      <c r="I37" s="164" t="s">
        <v>38</v>
      </c>
      <c r="K37" s="164" t="s">
        <v>39</v>
      </c>
      <c r="M37" s="164" t="s">
        <v>40</v>
      </c>
      <c r="O37" s="164" t="s">
        <v>1</v>
      </c>
      <c r="Q37" s="165"/>
    </row>
    <row r="38" spans="1:18" s="5" customFormat="1">
      <c r="A38" s="161"/>
      <c r="C38" s="127" t="s">
        <v>53</v>
      </c>
      <c r="E38" s="166">
        <f>I17</f>
        <v>12946092</v>
      </c>
      <c r="G38" s="166">
        <f>E38*O9</f>
        <v>19808.284579428</v>
      </c>
      <c r="I38" s="166">
        <f>E38*K9</f>
        <v>19808.284579428</v>
      </c>
      <c r="K38" s="166">
        <f>I38-G38</f>
        <v>0</v>
      </c>
      <c r="M38" s="167">
        <f>IF(K38&gt;0,K38,)</f>
        <v>0</v>
      </c>
      <c r="N38" s="167"/>
      <c r="O38" s="167">
        <f>IF(K38&lt;0,-K38,)</f>
        <v>0</v>
      </c>
      <c r="Q38" s="163"/>
    </row>
    <row r="39" spans="1:18" s="5" customFormat="1">
      <c r="A39" s="161"/>
      <c r="C39" s="127" t="s">
        <v>21</v>
      </c>
      <c r="E39" s="166">
        <f>G17</f>
        <v>288983</v>
      </c>
      <c r="G39" s="166">
        <f>E39*O9</f>
        <v>442.16103999700005</v>
      </c>
      <c r="H39" s="166"/>
      <c r="I39" s="166">
        <f>E39*K9</f>
        <v>442.16103999700005</v>
      </c>
      <c r="J39" s="166"/>
      <c r="K39" s="166">
        <f>I39-G39</f>
        <v>0</v>
      </c>
      <c r="L39" s="166"/>
      <c r="M39" s="167">
        <f>IF(K39&gt;0,K39,)</f>
        <v>0</v>
      </c>
      <c r="N39" s="167"/>
      <c r="O39" s="167">
        <f>IF(K39&lt;0,-K39,)</f>
        <v>0</v>
      </c>
      <c r="Q39" s="163"/>
    </row>
    <row r="40" spans="1:18" s="5" customFormat="1">
      <c r="A40" s="161"/>
      <c r="C40" s="127" t="s">
        <v>34</v>
      </c>
      <c r="E40" s="166">
        <f>M17-E17</f>
        <v>-3886023</v>
      </c>
      <c r="G40" s="166">
        <f>E40*O9</f>
        <v>-5945.8444653570004</v>
      </c>
      <c r="H40" s="166"/>
      <c r="I40" s="166">
        <f>E40*K9</f>
        <v>-5945.8444653570004</v>
      </c>
      <c r="J40" s="166"/>
      <c r="K40" s="166">
        <f>I40-G40</f>
        <v>0</v>
      </c>
      <c r="L40" s="166"/>
      <c r="M40" s="167">
        <f>IF(K40&lt;0,-K40,)</f>
        <v>0</v>
      </c>
      <c r="N40" s="167"/>
      <c r="O40" s="167">
        <f>IF(K40&gt;0,K40,)</f>
        <v>0</v>
      </c>
      <c r="Q40" s="163"/>
    </row>
    <row r="41" spans="1:18" s="5" customFormat="1">
      <c r="A41" s="161"/>
      <c r="C41" s="127" t="s">
        <v>35</v>
      </c>
      <c r="E41" s="166">
        <f>Q17</f>
        <v>0</v>
      </c>
      <c r="G41" s="166">
        <f>E41*O9</f>
        <v>0</v>
      </c>
      <c r="H41" s="166"/>
      <c r="I41" s="166">
        <f>E41*K9</f>
        <v>0</v>
      </c>
      <c r="J41" s="166"/>
      <c r="K41" s="166">
        <f>I41-G41</f>
        <v>0</v>
      </c>
      <c r="L41" s="166"/>
      <c r="M41" s="167">
        <f>IF(K41&lt;0,-K41,)</f>
        <v>0</v>
      </c>
      <c r="N41" s="167"/>
      <c r="O41" s="167">
        <f>IF(K41&gt;0,K41,)</f>
        <v>0</v>
      </c>
      <c r="Q41" s="163"/>
    </row>
    <row r="42" spans="1:18" s="5" customFormat="1">
      <c r="A42" s="161"/>
      <c r="C42" s="127" t="s">
        <v>78</v>
      </c>
      <c r="E42" s="166">
        <f>W17</f>
        <v>-123130586</v>
      </c>
      <c r="G42" s="166">
        <f>E42*O9</f>
        <v>-188397.06128457401</v>
      </c>
      <c r="H42" s="166"/>
      <c r="I42" s="166">
        <f>E42*K9</f>
        <v>-188397.06128457401</v>
      </c>
      <c r="J42" s="166"/>
      <c r="K42" s="166">
        <f>I42-G42</f>
        <v>0</v>
      </c>
      <c r="L42" s="166"/>
      <c r="M42" s="167">
        <f>IF(K42&lt;0,-K42,)</f>
        <v>0</v>
      </c>
      <c r="N42" s="167"/>
      <c r="O42" s="167">
        <f>IF(K42&gt;0,K42,)</f>
        <v>0</v>
      </c>
      <c r="Q42" s="163"/>
    </row>
    <row r="43" spans="1:18" s="5" customFormat="1">
      <c r="A43" s="161"/>
      <c r="C43" s="127" t="s">
        <v>33</v>
      </c>
      <c r="G43" s="166"/>
      <c r="H43" s="166"/>
      <c r="I43" s="166"/>
      <c r="J43" s="166"/>
      <c r="K43" s="166"/>
      <c r="L43" s="166"/>
      <c r="M43" s="167" t="str">
        <f>IF(SUM(M38:M42)&lt;SUM(O38:O42),SUM(O38:O42)-SUM(M38:M42),"")</f>
        <v/>
      </c>
      <c r="N43" s="167"/>
      <c r="O43" s="167" t="str">
        <f>IF(SUM(O38:O42)&lt;SUM(M38:M42),SUM(M38:M42)-SUM(O38:O42),"")</f>
        <v/>
      </c>
      <c r="Q43" s="163"/>
    </row>
    <row r="44" spans="1:18" s="5" customFormat="1">
      <c r="A44" s="161"/>
      <c r="Q44" s="163"/>
    </row>
    <row r="45" spans="1:18" s="6" customFormat="1">
      <c r="A45" s="168"/>
      <c r="M45" s="169">
        <f>SUM(M38:M43)</f>
        <v>0</v>
      </c>
      <c r="O45" s="169">
        <f>SUM(O38:O43)</f>
        <v>0</v>
      </c>
      <c r="Q45" s="170"/>
    </row>
    <row r="46" spans="1:1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T38"/>
  <sheetViews>
    <sheetView zoomScale="80" zoomScaleNormal="80" workbookViewId="0">
      <selection activeCell="J23" sqref="J23"/>
    </sheetView>
  </sheetViews>
  <sheetFormatPr defaultRowHeight="15"/>
  <cols>
    <col min="1" max="1" width="5.5703125" style="9" customWidth="1"/>
    <col min="2" max="2" width="12.85546875" style="9" customWidth="1"/>
    <col min="3" max="4" width="9.140625" style="9"/>
    <col min="5" max="5" width="6.7109375" style="9" customWidth="1"/>
    <col min="6" max="6" width="7.140625" style="9" customWidth="1"/>
    <col min="7" max="8" width="15.140625" style="9" bestFit="1" customWidth="1"/>
    <col min="9" max="9" width="2" style="9" customWidth="1"/>
    <col min="10" max="10" width="66" style="9" customWidth="1"/>
    <col min="11" max="11" width="30" style="9" customWidth="1"/>
    <col min="12" max="12" width="9.140625" style="9"/>
    <col min="13" max="13" width="5.140625" style="9" customWidth="1"/>
    <col min="14" max="14" width="5.85546875" style="9" customWidth="1"/>
    <col min="15" max="15" width="8.5703125" style="9" customWidth="1"/>
    <col min="16" max="16" width="13" style="9" bestFit="1" customWidth="1"/>
    <col min="17" max="17" width="10.5703125" style="9" customWidth="1"/>
    <col min="18" max="18" width="4.140625" style="24" customWidth="1"/>
    <col min="19" max="19" width="16.28515625" style="9" bestFit="1" customWidth="1"/>
    <col min="20" max="20" width="8.42578125" style="9" customWidth="1"/>
    <col min="21" max="21" width="15.7109375" style="9" customWidth="1"/>
    <col min="22" max="22" width="2.140625" style="9" customWidth="1"/>
    <col min="23" max="23" width="13.42578125" style="9" bestFit="1" customWidth="1"/>
    <col min="24" max="24" width="2.7109375" style="9" customWidth="1"/>
    <col min="25" max="25" width="14.5703125" style="9" bestFit="1" customWidth="1"/>
    <col min="26" max="26" width="2.140625" style="9" customWidth="1"/>
    <col min="27" max="27" width="14.5703125" style="9" bestFit="1" customWidth="1"/>
    <col min="28" max="28" width="2.140625" style="9" customWidth="1"/>
    <col min="29" max="29" width="14.5703125" style="9" bestFit="1" customWidth="1"/>
    <col min="30" max="30" width="2.140625" style="9" customWidth="1"/>
    <col min="31" max="31" width="12.85546875" style="9" customWidth="1"/>
    <col min="32" max="32" width="2.140625" style="9" customWidth="1"/>
    <col min="33" max="33" width="13.42578125" style="9" bestFit="1" customWidth="1"/>
    <col min="34" max="34" width="2.140625" style="9" customWidth="1"/>
    <col min="35" max="35" width="16" style="9" customWidth="1"/>
    <col min="36" max="36" width="2.140625" style="9" customWidth="1"/>
    <col min="37" max="37" width="15.28515625" style="9" bestFit="1" customWidth="1"/>
    <col min="38" max="38" width="2.5703125" style="9" customWidth="1"/>
    <col min="39" max="39" width="15.28515625" style="9" bestFit="1" customWidth="1"/>
    <col min="40" max="16384" width="9.140625" style="9"/>
  </cols>
  <sheetData>
    <row r="1" spans="1:17" ht="15" customHeight="1">
      <c r="A1" s="178" t="s">
        <v>42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7" ht="15.75">
      <c r="A2" s="138" t="s">
        <v>70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s="70" customFormat="1" ht="15.75">
      <c r="A3" s="138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</row>
    <row r="4" spans="1:17" s="70" customFormat="1" ht="15.75">
      <c r="A4" s="138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</row>
    <row r="5" spans="1:17" s="70" customFormat="1" ht="15.75">
      <c r="A5" s="138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s="24" customFormat="1">
      <c r="A6" s="9"/>
      <c r="B6" s="12" t="s">
        <v>14</v>
      </c>
      <c r="C6" s="6"/>
      <c r="D6" s="29" t="str">
        <f>Input!A9</f>
        <v>Employer A</v>
      </c>
      <c r="E6" s="27"/>
      <c r="F6" s="27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0" customFormat="1">
      <c r="B7" s="155"/>
      <c r="C7" s="5"/>
      <c r="D7" s="156"/>
      <c r="E7" s="71"/>
      <c r="F7" s="71"/>
      <c r="G7" s="71"/>
      <c r="H7" s="71"/>
      <c r="I7" s="71"/>
      <c r="J7" s="71"/>
    </row>
    <row r="8" spans="1:17" s="70" customFormat="1">
      <c r="B8" s="71"/>
      <c r="C8" s="5"/>
      <c r="D8" s="156"/>
      <c r="E8" s="71"/>
      <c r="F8" s="71"/>
      <c r="G8" s="149"/>
      <c r="H8" s="149"/>
      <c r="I8" s="71"/>
      <c r="J8" s="71"/>
    </row>
    <row r="9" spans="1:17">
      <c r="B9" s="71"/>
      <c r="C9" s="71"/>
      <c r="D9" s="71"/>
      <c r="E9" s="71"/>
      <c r="F9" s="71"/>
      <c r="G9" s="148"/>
      <c r="H9" s="148"/>
      <c r="I9" s="71"/>
      <c r="J9" s="71"/>
      <c r="K9" s="3"/>
      <c r="L9" s="3"/>
      <c r="M9" s="3"/>
      <c r="N9" s="3"/>
      <c r="O9" s="3"/>
      <c r="P9" s="3"/>
    </row>
    <row r="10" spans="1:17">
      <c r="B10" s="3"/>
      <c r="C10" s="3"/>
      <c r="D10" s="3"/>
      <c r="E10" s="3"/>
      <c r="F10" s="3"/>
      <c r="G10" s="7"/>
      <c r="H10" s="7"/>
      <c r="I10" s="3"/>
      <c r="J10" s="16"/>
      <c r="K10" s="3"/>
      <c r="L10" s="3"/>
      <c r="M10" s="3"/>
      <c r="N10" s="3"/>
      <c r="O10" s="3"/>
      <c r="P10" s="3"/>
    </row>
    <row r="11" spans="1:17">
      <c r="B11" s="3"/>
      <c r="C11" s="3"/>
      <c r="D11" s="3"/>
      <c r="E11" s="3"/>
      <c r="F11" s="3"/>
      <c r="G11" s="7"/>
      <c r="H11" s="7"/>
      <c r="I11" s="3"/>
      <c r="J11" s="16"/>
      <c r="K11" s="3"/>
      <c r="L11" s="3"/>
      <c r="M11" s="3"/>
      <c r="N11" s="3"/>
      <c r="O11" s="3"/>
      <c r="P11" s="3"/>
    </row>
    <row r="12" spans="1:17">
      <c r="B12" s="140" t="s">
        <v>86</v>
      </c>
      <c r="C12" s="2"/>
      <c r="D12" s="70"/>
      <c r="E12" s="70"/>
      <c r="F12" s="70"/>
      <c r="G12" s="70"/>
      <c r="H12" s="70"/>
      <c r="I12" s="70"/>
      <c r="J12" s="70"/>
      <c r="K12" s="70"/>
      <c r="L12" s="3"/>
      <c r="M12" s="3"/>
      <c r="N12" s="3"/>
      <c r="O12" s="3"/>
      <c r="P12" s="3"/>
    </row>
    <row r="13" spans="1:17">
      <c r="B13" s="71" t="s">
        <v>9</v>
      </c>
      <c r="C13" s="13"/>
      <c r="D13" s="70"/>
      <c r="E13" s="70"/>
      <c r="F13" s="70"/>
      <c r="G13" s="85">
        <f>IF(Input!W28&lt;0,-Input!W28,"")</f>
        <v>33799</v>
      </c>
      <c r="H13" s="148" t="str">
        <f>IF(Input!W28&lt;0,"",Input!W28)</f>
        <v/>
      </c>
      <c r="I13" s="14"/>
      <c r="J13" s="4" t="s">
        <v>71</v>
      </c>
      <c r="K13" s="39"/>
      <c r="L13" s="3"/>
      <c r="M13" s="3"/>
      <c r="N13" s="3"/>
      <c r="O13" s="3"/>
      <c r="P13" s="3"/>
    </row>
    <row r="14" spans="1:17">
      <c r="B14" s="71" t="s">
        <v>49</v>
      </c>
      <c r="C14" s="13"/>
      <c r="D14" s="70"/>
      <c r="E14" s="70"/>
      <c r="F14" s="70"/>
      <c r="G14" s="85">
        <f>IF(Input!G28&lt;0,"",Input!G28)</f>
        <v>25655</v>
      </c>
      <c r="H14" s="148" t="str">
        <f>IF(Input!G28&lt;0,-Input!G28,"")</f>
        <v/>
      </c>
      <c r="I14" s="14"/>
      <c r="J14" s="4" t="s">
        <v>22</v>
      </c>
      <c r="K14" s="40"/>
      <c r="L14" s="3"/>
      <c r="M14" s="3"/>
      <c r="N14" s="3"/>
      <c r="O14" s="3"/>
      <c r="P14" s="3"/>
    </row>
    <row r="15" spans="1:17" s="70" customFormat="1">
      <c r="B15" s="71" t="s">
        <v>75</v>
      </c>
      <c r="C15" s="13"/>
      <c r="G15" s="85">
        <f>IF(Input!I28&lt;0,"",Input!I28)</f>
        <v>11896</v>
      </c>
      <c r="H15" s="148" t="str">
        <f>IF(Input!I28&lt;0,-Input!I28,"")</f>
        <v/>
      </c>
      <c r="I15" s="14"/>
      <c r="J15" s="4" t="s">
        <v>22</v>
      </c>
      <c r="K15" s="40"/>
      <c r="L15" s="71"/>
      <c r="M15" s="71"/>
      <c r="N15" s="71"/>
      <c r="O15" s="71"/>
      <c r="P15" s="71"/>
    </row>
    <row r="16" spans="1:17" s="70" customFormat="1">
      <c r="B16" s="71" t="s">
        <v>82</v>
      </c>
      <c r="C16" s="13"/>
      <c r="G16" s="85" t="str">
        <f>IF(Input!E28&lt;0,"",Input!E28)</f>
        <v/>
      </c>
      <c r="H16" s="148">
        <f>IF(Input!E28&lt;0,-Input!E28,"")</f>
        <v>5946</v>
      </c>
      <c r="I16" s="14"/>
      <c r="J16" s="4"/>
      <c r="K16" s="40"/>
      <c r="L16" s="71"/>
      <c r="M16" s="71"/>
      <c r="N16" s="71"/>
      <c r="O16" s="71"/>
      <c r="P16" s="71"/>
    </row>
    <row r="17" spans="2:20">
      <c r="B17" s="71" t="s">
        <v>50</v>
      </c>
      <c r="C17" s="13"/>
      <c r="D17" s="70"/>
      <c r="E17" s="70"/>
      <c r="F17" s="70"/>
      <c r="G17" s="148" t="str">
        <f>IF(Input!M28&lt;0,-Input!M28,"")</f>
        <v/>
      </c>
      <c r="H17" s="85">
        <f>IF(Input!M28&lt;0,"",Input!M28)</f>
        <v>59398</v>
      </c>
      <c r="I17" s="14"/>
      <c r="J17" s="4" t="s">
        <v>81</v>
      </c>
      <c r="K17" s="70"/>
      <c r="L17" s="3"/>
      <c r="M17" s="3"/>
      <c r="N17" s="3"/>
      <c r="O17" s="5"/>
      <c r="P17" s="5"/>
    </row>
    <row r="18" spans="2:20">
      <c r="B18" s="71" t="s">
        <v>51</v>
      </c>
      <c r="C18" s="13"/>
      <c r="D18" s="70"/>
      <c r="E18" s="70"/>
      <c r="F18" s="70"/>
      <c r="G18" s="148" t="str">
        <f>IF(Input!Q28&lt;0,-Input!Q28,"")</f>
        <v/>
      </c>
      <c r="H18" s="85">
        <f>IF(Input!Q28&lt;0,"",Input!Q28)</f>
        <v>0</v>
      </c>
      <c r="I18" s="14"/>
      <c r="J18" s="4" t="s">
        <v>81</v>
      </c>
      <c r="K18" s="70"/>
      <c r="L18" s="3"/>
      <c r="M18" s="3"/>
      <c r="N18" s="3"/>
      <c r="O18" s="5"/>
      <c r="P18" s="106"/>
    </row>
    <row r="19" spans="2:20">
      <c r="B19" s="71" t="s">
        <v>52</v>
      </c>
      <c r="C19" s="70"/>
      <c r="D19" s="70"/>
      <c r="E19" s="70"/>
      <c r="F19" s="70"/>
      <c r="G19" s="85" t="str">
        <f>IF(Input!U25&lt;0,"",Input!U25)</f>
        <v/>
      </c>
      <c r="H19" s="85">
        <f>IF(Input!U25&lt;0,-Input!U25,"")</f>
        <v>12112</v>
      </c>
      <c r="I19" s="70"/>
      <c r="J19" s="4" t="s">
        <v>74</v>
      </c>
      <c r="K19" s="70"/>
      <c r="L19" s="3"/>
      <c r="M19" s="3"/>
      <c r="N19" s="3"/>
      <c r="O19" s="5"/>
      <c r="P19" s="130"/>
    </row>
    <row r="20" spans="2:20">
      <c r="B20" s="71" t="s">
        <v>19</v>
      </c>
      <c r="C20" s="71"/>
      <c r="D20" s="71"/>
      <c r="E20" s="71"/>
      <c r="F20" s="71"/>
      <c r="G20" s="149" t="str">
        <f>IF(Input!I9&lt;0,-Input!I9,"")</f>
        <v/>
      </c>
      <c r="H20" s="149">
        <f>IF(Input!I9&lt;0,"",Input!I9)</f>
        <v>13719</v>
      </c>
      <c r="I20" s="71"/>
      <c r="J20" s="16" t="s">
        <v>23</v>
      </c>
      <c r="K20" s="71"/>
      <c r="L20" s="3"/>
      <c r="M20" s="3"/>
      <c r="N20" s="3"/>
      <c r="O20" s="5"/>
      <c r="P20" s="130"/>
    </row>
    <row r="21" spans="2:20">
      <c r="B21" s="74" t="s">
        <v>43</v>
      </c>
      <c r="C21" s="74"/>
      <c r="D21" s="74"/>
      <c r="E21" s="71"/>
      <c r="F21" s="71"/>
      <c r="G21" s="66"/>
      <c r="H21" s="149"/>
      <c r="I21" s="71"/>
      <c r="J21" s="71"/>
      <c r="K21" s="71"/>
    </row>
    <row r="22" spans="2:20">
      <c r="B22" s="71" t="s">
        <v>20</v>
      </c>
      <c r="C22" s="70"/>
      <c r="D22" s="70"/>
      <c r="E22" s="70"/>
      <c r="F22" s="70"/>
      <c r="G22" s="65"/>
      <c r="H22" s="150"/>
      <c r="I22" s="70"/>
      <c r="J22" s="4" t="s">
        <v>87</v>
      </c>
      <c r="K22" s="70"/>
    </row>
    <row r="23" spans="2:20">
      <c r="B23" s="71" t="s">
        <v>0</v>
      </c>
      <c r="C23" s="71"/>
      <c r="D23" s="71"/>
      <c r="E23" s="71"/>
      <c r="F23" s="71"/>
      <c r="G23" s="151"/>
      <c r="H23" s="100">
        <f>+G22</f>
        <v>0</v>
      </c>
      <c r="I23" s="70"/>
      <c r="J23" s="70"/>
      <c r="K23" s="70"/>
    </row>
    <row r="24" spans="2:20">
      <c r="B24" s="15"/>
      <c r="C24" s="71"/>
      <c r="D24" s="71"/>
      <c r="E24" s="71"/>
      <c r="F24" s="71"/>
      <c r="G24" s="14">
        <f>SUM(G8:G21)</f>
        <v>71350</v>
      </c>
      <c r="H24" s="14">
        <f>SUM(H8:H21)</f>
        <v>91175</v>
      </c>
      <c r="I24" s="71"/>
      <c r="J24" s="154">
        <f>IF(G24&gt;H24,G24-H24,H24-G24)</f>
        <v>19825</v>
      </c>
      <c r="K24" s="53" t="s">
        <v>44</v>
      </c>
    </row>
    <row r="25" spans="2:20">
      <c r="B25" s="16"/>
      <c r="C25" s="71"/>
      <c r="D25" s="71"/>
      <c r="E25" s="71"/>
      <c r="F25" s="71"/>
      <c r="G25" s="7"/>
      <c r="H25" s="7"/>
      <c r="I25" s="71"/>
      <c r="J25" s="71"/>
      <c r="K25" s="53" t="s">
        <v>45</v>
      </c>
    </row>
    <row r="26" spans="2:20">
      <c r="B26" s="71"/>
      <c r="C26" s="71"/>
      <c r="D26" s="71"/>
      <c r="E26" s="71"/>
      <c r="F26" s="71"/>
      <c r="G26" s="7"/>
      <c r="H26" s="7"/>
      <c r="I26" s="71"/>
      <c r="J26" s="71"/>
      <c r="K26" s="53" t="s">
        <v>46</v>
      </c>
    </row>
    <row r="28" spans="2:20">
      <c r="J28" s="84"/>
      <c r="K28" s="71"/>
    </row>
    <row r="29" spans="2:20">
      <c r="J29" s="72"/>
      <c r="K29" s="71"/>
      <c r="Q29" s="173"/>
      <c r="T29" s="173"/>
    </row>
    <row r="30" spans="2:20" ht="72.75" customHeight="1">
      <c r="K30" s="153"/>
    </row>
    <row r="38" spans="10:10">
      <c r="J38" s="152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E14" sqref="E14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3" width="12.7109375" bestFit="1" customWidth="1"/>
    <col min="14" max="14" width="10.28515625" bestFit="1" customWidth="1"/>
  </cols>
  <sheetData>
    <row r="1" spans="1:14" ht="22.5">
      <c r="A1" s="181" t="s">
        <v>88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ht="22.5">
      <c r="A2" s="181" t="s">
        <v>89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</row>
    <row r="3" spans="1:14">
      <c r="A3" s="184" t="s">
        <v>57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</row>
    <row r="4" spans="1:14" s="24" customFormat="1"/>
    <row r="5" spans="1:14" s="24" customFormat="1"/>
    <row r="6" spans="1:14" s="24" customFormat="1"/>
    <row r="7" spans="1:14" s="24" customFormat="1"/>
    <row r="9" spans="1:14">
      <c r="H9" s="1"/>
      <c r="I9" s="1"/>
      <c r="J9" s="1"/>
      <c r="K9" s="182" t="s">
        <v>54</v>
      </c>
      <c r="L9" s="179"/>
      <c r="M9" s="179"/>
      <c r="N9" s="179"/>
    </row>
    <row r="10" spans="1:14">
      <c r="H10" s="1"/>
      <c r="I10" s="54"/>
      <c r="J10" s="1"/>
      <c r="K10" s="39"/>
      <c r="L10" s="59"/>
      <c r="M10" s="39">
        <f>+Input!W20</f>
        <v>-188397</v>
      </c>
      <c r="N10" s="87" t="s">
        <v>56</v>
      </c>
    </row>
    <row r="11" spans="1:14">
      <c r="H11" s="1"/>
      <c r="I11" s="54"/>
      <c r="J11" s="1"/>
      <c r="K11" s="39"/>
      <c r="L11" s="60">
        <f>+'JE''s'!G13</f>
        <v>33799</v>
      </c>
      <c r="M11" s="99" t="str">
        <f>+'JE''s'!H13</f>
        <v/>
      </c>
      <c r="N11" s="99" t="s">
        <v>31</v>
      </c>
    </row>
    <row r="12" spans="1:14">
      <c r="H12" s="1"/>
      <c r="I12" s="54"/>
      <c r="J12" s="1"/>
      <c r="K12" s="39"/>
      <c r="L12" s="57"/>
      <c r="M12" s="39"/>
      <c r="N12" s="39"/>
    </row>
    <row r="13" spans="1:14">
      <c r="H13" s="1"/>
      <c r="I13" s="54"/>
      <c r="J13" s="1"/>
      <c r="K13" s="61"/>
      <c r="L13" s="62"/>
      <c r="M13" s="61"/>
      <c r="N13" s="61"/>
    </row>
    <row r="14" spans="1:14">
      <c r="H14" s="1"/>
      <c r="I14" s="54"/>
      <c r="J14" s="1"/>
      <c r="K14" s="39"/>
      <c r="L14" s="60"/>
      <c r="M14" s="93">
        <f>SUM(M10:M13)-SUM(L10:L13)</f>
        <v>-222196</v>
      </c>
      <c r="N14" s="39"/>
    </row>
    <row r="15" spans="1:14">
      <c r="H15" s="1"/>
      <c r="I15" s="54"/>
      <c r="J15" s="1"/>
      <c r="K15" s="39"/>
      <c r="L15" s="57"/>
      <c r="M15" s="39"/>
      <c r="N15" s="39"/>
    </row>
    <row r="16" spans="1:14">
      <c r="H16" s="1"/>
      <c r="I16" s="54"/>
      <c r="J16" s="1"/>
      <c r="K16" s="39"/>
      <c r="L16" s="57"/>
      <c r="M16" s="39"/>
      <c r="N16" s="39"/>
    </row>
    <row r="17" spans="1:14">
      <c r="H17" s="1"/>
      <c r="I17" s="54"/>
      <c r="J17" s="1"/>
      <c r="K17" s="39"/>
      <c r="L17" s="57"/>
      <c r="M17" s="39"/>
      <c r="N17" s="39"/>
    </row>
    <row r="18" spans="1:14">
      <c r="H18" s="1"/>
      <c r="I18" s="1"/>
      <c r="J18" s="1"/>
    </row>
    <row r="20" spans="1:14">
      <c r="A20" s="183" t="s">
        <v>25</v>
      </c>
      <c r="B20" s="183"/>
      <c r="C20" s="183"/>
      <c r="D20" s="183"/>
      <c r="E20" s="55"/>
      <c r="F20" s="183" t="s">
        <v>25</v>
      </c>
      <c r="G20" s="183"/>
      <c r="H20" s="183"/>
      <c r="I20" s="183"/>
      <c r="J20" s="55"/>
      <c r="K20" s="183" t="s">
        <v>25</v>
      </c>
      <c r="L20" s="183"/>
      <c r="M20" s="183"/>
      <c r="N20" s="183"/>
    </row>
    <row r="21" spans="1:14">
      <c r="A21" s="179" t="s">
        <v>26</v>
      </c>
      <c r="B21" s="179"/>
      <c r="C21" s="179"/>
      <c r="D21" s="179"/>
      <c r="E21" s="55"/>
      <c r="F21" s="179" t="s">
        <v>27</v>
      </c>
      <c r="G21" s="179"/>
      <c r="H21" s="179"/>
      <c r="I21" s="179"/>
      <c r="J21" s="55"/>
      <c r="K21" s="179" t="s">
        <v>28</v>
      </c>
      <c r="L21" s="179"/>
      <c r="M21" s="179"/>
      <c r="N21" s="179"/>
    </row>
    <row r="22" spans="1:14">
      <c r="A22" s="87" t="s">
        <v>56</v>
      </c>
      <c r="B22" s="141">
        <f>+Input!K20+Input!I9</f>
        <v>39915</v>
      </c>
      <c r="C22" s="39"/>
      <c r="D22" s="39"/>
      <c r="E22" s="39"/>
      <c r="F22" s="39"/>
      <c r="G22" s="56"/>
      <c r="H22" s="39">
        <f>+Input!S20</f>
        <v>48194</v>
      </c>
      <c r="I22" s="87" t="s">
        <v>56</v>
      </c>
      <c r="J22" s="39"/>
      <c r="K22" s="87" t="s">
        <v>31</v>
      </c>
      <c r="L22" s="59" t="str">
        <f>+'JE''s'!G19</f>
        <v/>
      </c>
      <c r="M22" s="39">
        <f>+'JE''s'!H19</f>
        <v>12112</v>
      </c>
      <c r="N22" s="68"/>
    </row>
    <row r="23" spans="1:14">
      <c r="A23" s="87" t="s">
        <v>31</v>
      </c>
      <c r="B23" s="60"/>
      <c r="C23" s="39">
        <f>+Input!I9</f>
        <v>13719</v>
      </c>
      <c r="D23" s="87" t="s">
        <v>31</v>
      </c>
      <c r="E23" s="39"/>
      <c r="F23" s="87" t="s">
        <v>31</v>
      </c>
      <c r="G23" s="60" t="str">
        <f>'JE''s'!G18</f>
        <v/>
      </c>
      <c r="H23" s="85">
        <f>+'JE''s'!H18</f>
        <v>0</v>
      </c>
      <c r="I23" t="s">
        <v>31</v>
      </c>
      <c r="J23" s="39"/>
      <c r="K23" s="85"/>
      <c r="L23" s="60" t="str">
        <f>+'JE''s'!G20</f>
        <v/>
      </c>
      <c r="M23" s="39"/>
      <c r="N23" s="39"/>
    </row>
    <row r="24" spans="1:14">
      <c r="A24" s="87" t="s">
        <v>31</v>
      </c>
      <c r="B24" s="60">
        <f>+'JE''s'!G14</f>
        <v>25655</v>
      </c>
      <c r="C24" s="68" t="str">
        <f>+'JE''s'!H14</f>
        <v/>
      </c>
      <c r="D24" s="87"/>
      <c r="E24" s="39"/>
      <c r="F24" s="87" t="s">
        <v>31</v>
      </c>
      <c r="G24" s="60" t="str">
        <f>+'JE''s'!G17</f>
        <v/>
      </c>
      <c r="H24" s="39">
        <f>+'JE''s'!H17</f>
        <v>59398</v>
      </c>
      <c r="I24" s="39"/>
      <c r="J24" s="39"/>
      <c r="K24" s="39"/>
      <c r="L24" s="57"/>
      <c r="M24" s="39"/>
      <c r="N24" s="39"/>
    </row>
    <row r="25" spans="1:14">
      <c r="A25" s="39"/>
      <c r="B25" s="57" t="str">
        <f>+'JE''s'!G16</f>
        <v/>
      </c>
      <c r="C25" s="39"/>
      <c r="D25" s="69"/>
      <c r="E25" s="39"/>
      <c r="F25" s="39"/>
      <c r="G25" s="57"/>
      <c r="J25" s="39"/>
      <c r="K25" s="39"/>
      <c r="L25" s="57"/>
      <c r="M25" s="39"/>
      <c r="N25" s="39"/>
    </row>
    <row r="26" spans="1:14">
      <c r="A26" s="39"/>
      <c r="B26" s="60">
        <f>+'JE''s'!G15</f>
        <v>11896</v>
      </c>
      <c r="C26" s="39" t="str">
        <f>+'JE''s'!H15</f>
        <v/>
      </c>
      <c r="D26" s="39"/>
      <c r="E26" s="39"/>
      <c r="F26" s="39"/>
      <c r="G26" s="57"/>
      <c r="H26" s="39"/>
      <c r="I26" s="39"/>
      <c r="J26" s="39"/>
      <c r="K26" s="61"/>
      <c r="L26" s="62"/>
      <c r="M26" s="61"/>
      <c r="N26" s="61"/>
    </row>
    <row r="27" spans="1:14">
      <c r="A27" s="39"/>
      <c r="B27" s="60"/>
      <c r="C27" s="39"/>
      <c r="D27" s="39"/>
      <c r="E27" s="39"/>
      <c r="F27" s="61"/>
      <c r="G27" s="62"/>
      <c r="H27" s="61"/>
      <c r="I27" s="61"/>
      <c r="J27" s="39"/>
      <c r="K27" s="39"/>
      <c r="L27" s="57" t="str">
        <f>+L22</f>
        <v/>
      </c>
      <c r="M27" s="93"/>
      <c r="N27" s="39"/>
    </row>
    <row r="28" spans="1:14">
      <c r="A28" s="61"/>
      <c r="B28" s="62"/>
      <c r="C28" s="90"/>
      <c r="D28" s="61"/>
      <c r="E28" s="39"/>
      <c r="F28" s="95"/>
      <c r="G28" s="94">
        <f>SUM(G22:G27)</f>
        <v>0</v>
      </c>
      <c r="H28" s="95">
        <f>SUM(H22:H27)</f>
        <v>107592</v>
      </c>
      <c r="I28" s="95"/>
      <c r="J28" s="95"/>
      <c r="K28" s="95"/>
      <c r="L28" s="94"/>
      <c r="M28" s="95"/>
      <c r="N28" s="95"/>
    </row>
    <row r="29" spans="1:14">
      <c r="A29" s="39"/>
      <c r="B29" s="91">
        <f>SUM(B22:B28)</f>
        <v>77466</v>
      </c>
      <c r="C29" s="92">
        <f>SUM(C22:C28)</f>
        <v>13719</v>
      </c>
      <c r="D29" s="89"/>
      <c r="E29" s="39"/>
      <c r="F29" s="95"/>
      <c r="G29" s="94"/>
      <c r="H29" s="95"/>
      <c r="I29" s="95"/>
      <c r="J29" s="95"/>
      <c r="K29" s="95"/>
      <c r="L29" s="94"/>
      <c r="M29" s="95"/>
      <c r="N29" s="95"/>
    </row>
    <row r="30" spans="1:14" s="70" customFormat="1">
      <c r="A30" s="39"/>
      <c r="B30" s="94"/>
      <c r="C30" s="92"/>
      <c r="D30" s="58"/>
      <c r="E30" s="39"/>
      <c r="F30" s="39"/>
      <c r="G30" s="63"/>
      <c r="H30" s="39"/>
      <c r="I30" s="39"/>
      <c r="J30" s="39"/>
      <c r="K30" s="39"/>
      <c r="L30" s="63"/>
      <c r="M30" s="39"/>
      <c r="N30" s="39"/>
    </row>
    <row r="31" spans="1:14">
      <c r="A31" s="87" t="s">
        <v>58</v>
      </c>
      <c r="B31" s="93">
        <f>+B29-C29</f>
        <v>63747</v>
      </c>
      <c r="C31" s="39"/>
      <c r="D31" s="39"/>
      <c r="E31" s="39"/>
      <c r="F31" s="39"/>
      <c r="G31" s="87" t="s">
        <v>58</v>
      </c>
      <c r="H31" s="93">
        <f>+H28-G28</f>
        <v>107592</v>
      </c>
      <c r="I31" s="39"/>
      <c r="J31" s="39"/>
      <c r="K31" s="39"/>
      <c r="L31" s="39"/>
      <c r="M31" s="39"/>
      <c r="N31" s="39"/>
    </row>
    <row r="35" spans="1:14">
      <c r="K35" s="1"/>
      <c r="L35" s="1"/>
      <c r="M35" s="1"/>
      <c r="N35" s="1"/>
    </row>
    <row r="36" spans="1:14">
      <c r="K36" s="1"/>
      <c r="L36" s="1"/>
      <c r="M36" s="1"/>
      <c r="N36" s="1"/>
    </row>
    <row r="37" spans="1:14">
      <c r="A37" s="179" t="s">
        <v>29</v>
      </c>
      <c r="B37" s="179"/>
      <c r="C37" s="179"/>
      <c r="D37" s="179"/>
      <c r="F37" s="179" t="s">
        <v>30</v>
      </c>
      <c r="G37" s="179"/>
      <c r="H37" s="179"/>
      <c r="I37" s="179"/>
      <c r="K37" s="180"/>
      <c r="L37" s="180"/>
      <c r="M37" s="180"/>
      <c r="N37" s="180"/>
    </row>
    <row r="38" spans="1:14">
      <c r="A38" s="39"/>
      <c r="B38" s="56" t="str">
        <f>+'JE''s'!G20</f>
        <v/>
      </c>
      <c r="C38" s="39">
        <f>+'JE''s'!H20</f>
        <v>13719</v>
      </c>
      <c r="D38" s="39"/>
      <c r="E38" s="39"/>
      <c r="F38" s="39"/>
      <c r="G38" s="59">
        <f>+'JE''s'!H20</f>
        <v>13719</v>
      </c>
      <c r="H38" s="39"/>
      <c r="I38" s="87"/>
      <c r="J38" s="39"/>
      <c r="K38" s="58"/>
      <c r="L38" s="96"/>
      <c r="M38" s="58"/>
      <c r="N38" s="58"/>
    </row>
    <row r="39" spans="1:14">
      <c r="A39" s="39"/>
      <c r="B39" s="57"/>
      <c r="C39" s="39"/>
      <c r="D39" s="39"/>
      <c r="E39" s="39"/>
      <c r="F39" s="39"/>
      <c r="G39" s="57"/>
      <c r="H39" s="39"/>
      <c r="I39" s="39"/>
      <c r="J39" s="39"/>
      <c r="K39" s="58"/>
      <c r="L39" s="63"/>
      <c r="M39" s="58"/>
      <c r="N39" s="58"/>
    </row>
    <row r="40" spans="1:14">
      <c r="A40" s="39"/>
      <c r="B40" s="57"/>
      <c r="C40" s="39"/>
      <c r="D40" s="39"/>
      <c r="E40" s="39"/>
      <c r="F40" s="39"/>
      <c r="G40" s="57"/>
      <c r="H40" s="39"/>
      <c r="I40" s="39"/>
      <c r="J40" s="39"/>
      <c r="K40" s="58"/>
      <c r="L40" s="96"/>
      <c r="M40" s="58"/>
      <c r="N40" s="58"/>
    </row>
    <row r="41" spans="1:14">
      <c r="A41" s="39"/>
      <c r="B41" s="57"/>
      <c r="C41" s="39"/>
      <c r="D41" s="39"/>
      <c r="E41" s="39"/>
      <c r="F41" s="61"/>
      <c r="G41" s="62"/>
      <c r="H41" s="61"/>
      <c r="I41" s="61"/>
      <c r="J41" s="39"/>
      <c r="K41" s="58"/>
      <c r="L41" s="63"/>
      <c r="M41" s="58"/>
      <c r="N41" s="58"/>
    </row>
    <row r="42" spans="1:14">
      <c r="A42" s="39"/>
      <c r="B42" s="57"/>
      <c r="C42" s="39"/>
      <c r="D42" s="39"/>
      <c r="E42" s="39"/>
      <c r="F42" s="39"/>
      <c r="G42" s="57">
        <f>SUM(G38:G41)</f>
        <v>13719</v>
      </c>
      <c r="H42" s="93">
        <f>SUM(H38:H41)</f>
        <v>0</v>
      </c>
      <c r="I42" s="39"/>
      <c r="J42" s="39"/>
      <c r="K42" s="58"/>
      <c r="L42" s="63"/>
      <c r="M42" s="58"/>
      <c r="N42" s="58"/>
    </row>
    <row r="43" spans="1:14">
      <c r="A43" s="39"/>
      <c r="B43" s="57"/>
      <c r="C43" s="39"/>
      <c r="D43" s="39"/>
      <c r="E43" s="39"/>
      <c r="F43" s="39"/>
      <c r="G43" s="57"/>
      <c r="H43" s="39"/>
      <c r="I43" s="39"/>
      <c r="J43" s="39"/>
      <c r="K43" s="58"/>
      <c r="L43" s="63"/>
      <c r="M43" s="58"/>
      <c r="N43" s="58"/>
    </row>
    <row r="44" spans="1:14">
      <c r="A44" s="39"/>
      <c r="B44" s="57"/>
      <c r="C44" s="39"/>
      <c r="D44" s="39"/>
      <c r="E44" s="39"/>
      <c r="F44" s="39"/>
      <c r="G44" s="57"/>
      <c r="H44" s="39"/>
      <c r="I44" s="39"/>
      <c r="J44" s="39"/>
      <c r="K44" s="58"/>
      <c r="L44" s="63"/>
      <c r="M44" s="58"/>
      <c r="N44" s="58"/>
    </row>
    <row r="45" spans="1:14">
      <c r="A45" s="39"/>
      <c r="B45" s="57"/>
      <c r="C45" s="39"/>
      <c r="D45" s="39"/>
      <c r="E45" s="39"/>
      <c r="F45" s="39"/>
      <c r="G45" s="57"/>
      <c r="H45" s="39"/>
      <c r="I45" s="39"/>
      <c r="J45" s="39"/>
      <c r="K45" s="58"/>
      <c r="L45" s="63"/>
      <c r="M45" s="58"/>
      <c r="N45" s="58"/>
    </row>
    <row r="46" spans="1:14" s="24" customFormat="1">
      <c r="A46" s="39"/>
      <c r="B46" s="63"/>
      <c r="C46" s="39"/>
      <c r="D46" s="39"/>
      <c r="E46" s="39"/>
      <c r="F46" s="39"/>
      <c r="G46" s="63"/>
      <c r="H46" s="39"/>
      <c r="I46" s="39"/>
      <c r="J46" s="39"/>
      <c r="K46" s="39"/>
      <c r="L46" s="63"/>
      <c r="M46" s="39"/>
      <c r="N46" s="39"/>
    </row>
    <row r="47" spans="1:14" s="24" customFormat="1">
      <c r="A47" s="39"/>
      <c r="B47" s="63"/>
      <c r="C47" s="39"/>
      <c r="D47" s="39"/>
      <c r="E47" s="39"/>
      <c r="F47" s="39"/>
      <c r="G47" s="63"/>
      <c r="H47" s="39"/>
      <c r="I47" s="39"/>
      <c r="J47" s="39"/>
      <c r="K47" s="39"/>
      <c r="L47" s="63"/>
      <c r="M47" s="39"/>
      <c r="N47" s="39"/>
    </row>
    <row r="48" spans="1:14" s="24" customFormat="1">
      <c r="A48" s="39"/>
      <c r="B48" s="63"/>
      <c r="C48" s="39"/>
      <c r="D48" s="39"/>
      <c r="E48" s="39"/>
      <c r="F48" s="39"/>
      <c r="G48" s="63"/>
      <c r="H48" s="39"/>
      <c r="I48" s="39"/>
      <c r="J48" s="39"/>
      <c r="K48" s="39"/>
      <c r="L48" s="63"/>
      <c r="M48" s="39"/>
      <c r="N48" s="39"/>
    </row>
    <row r="49" spans="1:14" s="24" customFormat="1">
      <c r="A49" s="39"/>
      <c r="B49" s="63"/>
      <c r="C49" s="39"/>
      <c r="D49" s="39"/>
      <c r="E49" s="39"/>
      <c r="F49" s="39"/>
      <c r="G49" s="63"/>
      <c r="H49" s="39"/>
      <c r="I49" s="39"/>
      <c r="J49" s="39"/>
      <c r="K49" s="39"/>
      <c r="L49" s="63"/>
      <c r="M49" s="39"/>
      <c r="N49" s="39"/>
    </row>
    <row r="50" spans="1:14">
      <c r="A50" s="39"/>
      <c r="B50" s="39"/>
      <c r="C50" s="39"/>
      <c r="D50" s="39"/>
      <c r="E50" s="39"/>
      <c r="F50" s="39"/>
      <c r="G50" s="39"/>
      <c r="H50" s="39"/>
      <c r="I50" s="39"/>
      <c r="J50" s="39"/>
      <c r="K50" s="58"/>
      <c r="L50" s="58"/>
      <c r="M50" s="58"/>
      <c r="N50" s="58"/>
    </row>
    <row r="51" spans="1:14">
      <c r="A51" s="97" t="s">
        <v>55</v>
      </c>
    </row>
    <row r="53" spans="1:14">
      <c r="A53" t="s">
        <v>32</v>
      </c>
    </row>
    <row r="55" spans="1:14">
      <c r="A55" s="71" t="s">
        <v>47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75"/>
  <sheetViews>
    <sheetView zoomScale="90" zoomScaleNormal="90" workbookViewId="0">
      <selection activeCell="D3" sqref="D3"/>
    </sheetView>
  </sheetViews>
  <sheetFormatPr defaultRowHeight="15"/>
  <cols>
    <col min="1" max="1" width="14.85546875" style="70" customWidth="1"/>
    <col min="2" max="2" width="21" style="70" customWidth="1"/>
    <col min="3" max="3" width="13.140625" style="5" customWidth="1"/>
    <col min="4" max="4" width="19.85546875" style="70" customWidth="1"/>
    <col min="5" max="5" width="13" style="70" customWidth="1"/>
    <col min="6" max="6" width="19.85546875" style="70" customWidth="1"/>
    <col min="7" max="7" width="13.140625" style="70" customWidth="1"/>
    <col min="8" max="8" width="18.28515625" style="70" customWidth="1"/>
    <col min="9" max="9" width="14.42578125" style="70" customWidth="1"/>
    <col min="10" max="10" width="19.85546875" style="70" customWidth="1"/>
    <col min="11" max="11" width="3.42578125" style="5" customWidth="1"/>
    <col min="12" max="12" width="19.140625" style="70" customWidth="1"/>
    <col min="13" max="13" width="3" style="70" customWidth="1"/>
    <col min="14" max="14" width="17" style="70" customWidth="1"/>
    <col min="15" max="15" width="9.140625" style="70"/>
    <col min="16" max="16" width="13.140625" style="70" bestFit="1" customWidth="1"/>
    <col min="17" max="18" width="9.140625" style="70"/>
    <col min="19" max="19" width="13.140625" style="70" bestFit="1" customWidth="1"/>
    <col min="20" max="20" width="11" style="70" bestFit="1" customWidth="1"/>
    <col min="21" max="16384" width="9.140625" style="70"/>
  </cols>
  <sheetData>
    <row r="1" spans="1:19">
      <c r="A1" s="70" t="s">
        <v>73</v>
      </c>
      <c r="D1" s="101">
        <f>+L12+L31+L49</f>
        <v>-85450008.160018548</v>
      </c>
      <c r="F1" s="88" t="s">
        <v>68</v>
      </c>
    </row>
    <row r="2" spans="1:19">
      <c r="D2" s="75"/>
      <c r="F2" s="88" t="s">
        <v>59</v>
      </c>
    </row>
    <row r="3" spans="1:19">
      <c r="D3" s="75"/>
    </row>
    <row r="4" spans="1:19">
      <c r="D4" s="75"/>
    </row>
    <row r="5" spans="1:19" ht="19.5">
      <c r="A5" s="102" t="s">
        <v>60</v>
      </c>
    </row>
    <row r="6" spans="1:19">
      <c r="B6" s="70">
        <v>5</v>
      </c>
      <c r="D6" s="70">
        <v>5</v>
      </c>
      <c r="F6" s="70">
        <v>5</v>
      </c>
      <c r="H6" s="70">
        <v>5</v>
      </c>
      <c r="J6" s="70">
        <v>5</v>
      </c>
    </row>
    <row r="7" spans="1:19" ht="30">
      <c r="B7" s="103">
        <v>2014</v>
      </c>
      <c r="C7" s="104" t="s">
        <v>61</v>
      </c>
      <c r="D7" s="103">
        <v>2015</v>
      </c>
      <c r="E7" s="104" t="s">
        <v>61</v>
      </c>
      <c r="F7" s="103">
        <v>2016</v>
      </c>
      <c r="G7" s="104" t="s">
        <v>61</v>
      </c>
      <c r="H7" s="103">
        <v>2017</v>
      </c>
      <c r="I7" s="104" t="s">
        <v>61</v>
      </c>
      <c r="J7" s="105">
        <v>2018</v>
      </c>
      <c r="K7" s="106"/>
      <c r="L7" s="135" t="s">
        <v>69</v>
      </c>
      <c r="M7" s="131"/>
      <c r="N7" s="136" t="s">
        <v>62</v>
      </c>
    </row>
    <row r="8" spans="1:19">
      <c r="B8" s="107">
        <f>-1152530559</f>
        <v>-1152530559</v>
      </c>
      <c r="C8" s="106"/>
      <c r="D8" s="107">
        <f>605790957</f>
        <v>605790957</v>
      </c>
      <c r="F8" s="107">
        <v>778977807</v>
      </c>
      <c r="H8" s="107">
        <v>-716714605</v>
      </c>
      <c r="J8" s="107">
        <v>0</v>
      </c>
      <c r="K8" s="108"/>
      <c r="L8" s="8"/>
    </row>
    <row r="9" spans="1:19">
      <c r="A9" s="70">
        <v>2014</v>
      </c>
      <c r="B9" s="109">
        <f>$B$8/$B$6</f>
        <v>-230506111.80000001</v>
      </c>
      <c r="C9" s="108">
        <f>+B8-B9</f>
        <v>-922024447.20000005</v>
      </c>
      <c r="L9" s="72">
        <f>+B9+D9</f>
        <v>-230506111.80000001</v>
      </c>
    </row>
    <row r="10" spans="1:19">
      <c r="A10" s="70">
        <v>2015</v>
      </c>
      <c r="B10" s="109">
        <f t="shared" ref="B10:B13" si="0">$B$8/$B$6</f>
        <v>-230506111.80000001</v>
      </c>
      <c r="C10" s="110">
        <f>+C9-B10</f>
        <v>-691518335.4000001</v>
      </c>
      <c r="D10" s="109">
        <f>$D$8/$D$6</f>
        <v>121158191.40000001</v>
      </c>
      <c r="E10" s="98">
        <f>+D8-D10</f>
        <v>484632765.60000002</v>
      </c>
      <c r="F10" s="111"/>
      <c r="H10" s="109"/>
      <c r="J10" s="109"/>
      <c r="K10" s="108"/>
      <c r="L10" s="75">
        <f t="shared" ref="L10:L17" si="1">+B10+D10</f>
        <v>-109347920.40000001</v>
      </c>
      <c r="N10" s="72">
        <f>+C10+E10</f>
        <v>-206885569.80000007</v>
      </c>
      <c r="P10" s="72"/>
      <c r="S10" s="72"/>
    </row>
    <row r="11" spans="1:19">
      <c r="A11" s="70">
        <v>2016</v>
      </c>
      <c r="B11" s="109">
        <f t="shared" si="0"/>
        <v>-230506111.80000001</v>
      </c>
      <c r="C11" s="110">
        <f>+C10-B11</f>
        <v>-461012223.60000008</v>
      </c>
      <c r="D11" s="142">
        <f>$D$8/$D$6</f>
        <v>121158191.40000001</v>
      </c>
      <c r="E11" s="98">
        <f>+E10-D11</f>
        <v>363474574.20000005</v>
      </c>
      <c r="F11" s="143">
        <f>$F$8/$F$6</f>
        <v>155795561.40000001</v>
      </c>
      <c r="G11" s="98">
        <f>+F8-F11</f>
        <v>623182245.60000002</v>
      </c>
      <c r="H11" s="109"/>
      <c r="J11" s="109"/>
      <c r="K11" s="108"/>
      <c r="L11" s="75">
        <f>+B11+D11+F11</f>
        <v>46447641</v>
      </c>
      <c r="N11" s="75">
        <f>+C11+E11+G11</f>
        <v>525644596.19999999</v>
      </c>
    </row>
    <row r="12" spans="1:19">
      <c r="A12" s="70">
        <v>2017</v>
      </c>
      <c r="B12" s="109">
        <f t="shared" si="0"/>
        <v>-230506111.80000001</v>
      </c>
      <c r="C12" s="112">
        <f t="shared" ref="C12:C13" si="2">+C11-B12</f>
        <v>-230506111.80000007</v>
      </c>
      <c r="D12" s="109">
        <f t="shared" ref="D12:D14" si="3">$D$8/$D$6</f>
        <v>121158191.40000001</v>
      </c>
      <c r="E12" s="113">
        <f t="shared" ref="E12:E14" si="4">+E11-D12</f>
        <v>242316382.80000004</v>
      </c>
      <c r="F12" s="132">
        <f t="shared" ref="F12:F15" si="5">$F$8/$F$6</f>
        <v>155795561.40000001</v>
      </c>
      <c r="G12" s="113">
        <f>+G11-F12</f>
        <v>467386684.20000005</v>
      </c>
      <c r="H12" s="132">
        <f>$H$8/$H$6</f>
        <v>-143342921</v>
      </c>
      <c r="I12" s="113">
        <f>+H8-H12</f>
        <v>-573371684</v>
      </c>
      <c r="J12" s="109"/>
      <c r="K12" s="108"/>
      <c r="L12" s="115">
        <f>+B12+D12+F12+H12</f>
        <v>-96895280</v>
      </c>
      <c r="N12" s="116">
        <f>+C12+E12+G12+I12</f>
        <v>-94174728.799999952</v>
      </c>
      <c r="S12" s="72"/>
    </row>
    <row r="13" spans="1:19">
      <c r="A13" s="70">
        <v>2018</v>
      </c>
      <c r="B13" s="109">
        <f t="shared" si="0"/>
        <v>-230506111.80000001</v>
      </c>
      <c r="C13" s="108">
        <f t="shared" si="2"/>
        <v>0</v>
      </c>
      <c r="D13" s="109">
        <f t="shared" si="3"/>
        <v>121158191.40000001</v>
      </c>
      <c r="E13" s="72">
        <f t="shared" si="4"/>
        <v>121158191.40000004</v>
      </c>
      <c r="F13" s="132">
        <f t="shared" si="5"/>
        <v>155795561.40000001</v>
      </c>
      <c r="G13" s="72">
        <f t="shared" ref="G13:G15" si="6">+G12-F13</f>
        <v>311591122.80000007</v>
      </c>
      <c r="H13" s="132">
        <f t="shared" ref="H13:H16" si="7">$H$8/$H$6</f>
        <v>-143342921</v>
      </c>
      <c r="I13" s="72">
        <f>+I12-H13</f>
        <v>-430028763</v>
      </c>
      <c r="J13" s="114">
        <f>$J$8/$J$6</f>
        <v>0</v>
      </c>
      <c r="K13" s="108"/>
      <c r="L13" s="72">
        <f>+B13+D13+F13+H13+J13</f>
        <v>-96895280</v>
      </c>
      <c r="N13" s="72">
        <f t="shared" ref="N13:N17" si="8">+C13+E13+G13</f>
        <v>432749314.20000011</v>
      </c>
    </row>
    <row r="14" spans="1:19">
      <c r="A14" s="70">
        <v>2019</v>
      </c>
      <c r="B14" s="1"/>
      <c r="D14" s="109">
        <f t="shared" si="3"/>
        <v>121158191.40000001</v>
      </c>
      <c r="E14" s="72">
        <f t="shared" si="4"/>
        <v>0</v>
      </c>
      <c r="F14" s="108">
        <f t="shared" si="5"/>
        <v>155795561.40000001</v>
      </c>
      <c r="G14" s="72">
        <f t="shared" si="6"/>
        <v>155795561.40000007</v>
      </c>
      <c r="H14" s="132">
        <f t="shared" si="7"/>
        <v>-143342921</v>
      </c>
      <c r="I14" s="72">
        <f t="shared" ref="I14:I16" si="9">+I13-H14</f>
        <v>-286685842</v>
      </c>
      <c r="J14" s="114">
        <f t="shared" ref="J14:J17" si="10">$J$8/$J$6</f>
        <v>0</v>
      </c>
      <c r="K14" s="108"/>
      <c r="L14" s="72">
        <f>+B14+D14+F14+H14</f>
        <v>133610831.80000001</v>
      </c>
      <c r="N14" s="72">
        <f t="shared" si="8"/>
        <v>155795561.40000007</v>
      </c>
    </row>
    <row r="15" spans="1:19">
      <c r="A15" s="70">
        <v>2020</v>
      </c>
      <c r="B15" s="5"/>
      <c r="D15" s="108"/>
      <c r="F15" s="108">
        <f t="shared" si="5"/>
        <v>155795561.40000001</v>
      </c>
      <c r="G15" s="72">
        <f t="shared" si="6"/>
        <v>0</v>
      </c>
      <c r="H15" s="132">
        <f t="shared" si="7"/>
        <v>-143342921</v>
      </c>
      <c r="I15" s="72">
        <f t="shared" si="9"/>
        <v>-143342921</v>
      </c>
      <c r="J15" s="114">
        <f t="shared" si="10"/>
        <v>0</v>
      </c>
      <c r="K15" s="108"/>
      <c r="L15" s="72">
        <f>+B15+D15+F15+H15</f>
        <v>12452640.400000006</v>
      </c>
      <c r="N15" s="72">
        <f t="shared" si="8"/>
        <v>0</v>
      </c>
    </row>
    <row r="16" spans="1:19">
      <c r="A16" s="70">
        <v>2021</v>
      </c>
      <c r="B16" s="1"/>
      <c r="D16" s="117"/>
      <c r="F16" s="111"/>
      <c r="H16" s="132">
        <f t="shared" si="7"/>
        <v>-143342921</v>
      </c>
      <c r="I16" s="72">
        <f t="shared" si="9"/>
        <v>0</v>
      </c>
      <c r="J16" s="114">
        <f t="shared" si="10"/>
        <v>0</v>
      </c>
      <c r="K16" s="108"/>
      <c r="L16" s="72">
        <f t="shared" si="1"/>
        <v>0</v>
      </c>
      <c r="N16" s="72">
        <f t="shared" si="8"/>
        <v>0</v>
      </c>
    </row>
    <row r="17" spans="1:19">
      <c r="A17" s="70">
        <v>2022</v>
      </c>
      <c r="B17" s="86"/>
      <c r="D17" s="118"/>
      <c r="F17" s="119"/>
      <c r="H17" s="118"/>
      <c r="J17" s="120">
        <f t="shared" si="10"/>
        <v>0</v>
      </c>
      <c r="K17" s="108"/>
      <c r="L17" s="121">
        <f t="shared" si="1"/>
        <v>0</v>
      </c>
      <c r="N17" s="72">
        <f t="shared" si="8"/>
        <v>0</v>
      </c>
    </row>
    <row r="18" spans="1:19">
      <c r="B18" s="1"/>
      <c r="D18" s="117"/>
      <c r="F18" s="122"/>
      <c r="H18" s="117"/>
      <c r="J18" s="108"/>
      <c r="K18" s="108"/>
      <c r="L18" s="20"/>
    </row>
    <row r="19" spans="1:19">
      <c r="B19" s="109">
        <f>SUM(B9:B17)</f>
        <v>-1152530559</v>
      </c>
      <c r="C19" s="108"/>
      <c r="D19" s="109">
        <f>SUM(D9:D17)</f>
        <v>605790957</v>
      </c>
      <c r="F19" s="109">
        <f>SUM(F9:F17)</f>
        <v>778977807</v>
      </c>
      <c r="H19" s="109">
        <f>SUM(H9:H17)</f>
        <v>-716714605</v>
      </c>
      <c r="J19" s="109">
        <f>SUM(J9:J17)</f>
        <v>0</v>
      </c>
      <c r="K19" s="108"/>
      <c r="L19" s="72">
        <f>SUM(L9:L17)</f>
        <v>-341133479</v>
      </c>
    </row>
    <row r="21" spans="1:19">
      <c r="D21" s="72">
        <f>+B19+D19</f>
        <v>-546739602</v>
      </c>
    </row>
    <row r="22" spans="1:19">
      <c r="D22" s="72"/>
    </row>
    <row r="23" spans="1:19" ht="19.5">
      <c r="A23" s="102" t="s">
        <v>63</v>
      </c>
    </row>
    <row r="24" spans="1:19" ht="19.5">
      <c r="A24" s="102"/>
    </row>
    <row r="25" spans="1:19">
      <c r="B25" s="70">
        <v>5.6</v>
      </c>
      <c r="D25" s="70">
        <v>5.5</v>
      </c>
      <c r="F25" s="71">
        <v>4.9000000000000004</v>
      </c>
      <c r="H25" s="71">
        <v>4.9000000000000004</v>
      </c>
      <c r="J25" s="82">
        <v>5.5</v>
      </c>
      <c r="L25" s="83" t="s">
        <v>64</v>
      </c>
    </row>
    <row r="26" spans="1:19" ht="30">
      <c r="B26" s="103">
        <v>2014</v>
      </c>
      <c r="C26" s="106"/>
      <c r="D26" s="103">
        <v>2015</v>
      </c>
      <c r="F26" s="103">
        <v>2016</v>
      </c>
      <c r="H26" s="103">
        <v>2017</v>
      </c>
      <c r="I26" s="105"/>
      <c r="J26" s="105">
        <v>2018</v>
      </c>
      <c r="K26" s="106"/>
      <c r="L26" s="134" t="s">
        <v>69</v>
      </c>
    </row>
    <row r="27" spans="1:19">
      <c r="B27" s="123">
        <f>-111248209</f>
        <v>-111248209</v>
      </c>
      <c r="C27" s="106"/>
      <c r="D27" s="123">
        <f>-105531304</f>
        <v>-105531304</v>
      </c>
      <c r="F27" s="107">
        <v>-104512779</v>
      </c>
      <c r="H27" s="107">
        <v>273580592</v>
      </c>
      <c r="J27" s="107">
        <v>0</v>
      </c>
      <c r="K27" s="108"/>
      <c r="L27" s="8"/>
    </row>
    <row r="28" spans="1:19">
      <c r="A28" s="70">
        <v>2014</v>
      </c>
      <c r="B28" s="109">
        <f>$B$27/$B$25</f>
        <v>-19865751.607142858</v>
      </c>
      <c r="C28" s="108">
        <f>+B27-B28</f>
        <v>-91382457.392857134</v>
      </c>
      <c r="D28" s="109"/>
      <c r="L28" s="72">
        <f>+B28+D28</f>
        <v>-19865751.607142858</v>
      </c>
    </row>
    <row r="29" spans="1:19">
      <c r="A29" s="70">
        <v>2015</v>
      </c>
      <c r="B29" s="109">
        <f t="shared" ref="B29:B32" si="11">$B$27/$B$25</f>
        <v>-19865751.607142858</v>
      </c>
      <c r="C29" s="110">
        <f>+C28-B29</f>
        <v>-71516705.785714269</v>
      </c>
      <c r="D29" s="109">
        <f t="shared" ref="D29:D33" si="12">$D$27/$D$25</f>
        <v>-19187509.818181816</v>
      </c>
      <c r="E29" s="98">
        <f>+D27-D29</f>
        <v>-86343794.181818187</v>
      </c>
      <c r="F29" s="111"/>
      <c r="H29" s="109"/>
      <c r="J29" s="109"/>
      <c r="K29" s="108"/>
      <c r="L29" s="75">
        <f t="shared" ref="L29:L37" si="13">+B29+D29</f>
        <v>-39053261.425324678</v>
      </c>
      <c r="N29" s="72">
        <f>+C29+E29</f>
        <v>-157860499.96753246</v>
      </c>
      <c r="S29" s="72"/>
    </row>
    <row r="30" spans="1:19">
      <c r="A30" s="70">
        <v>2016</v>
      </c>
      <c r="B30" s="109">
        <f t="shared" si="11"/>
        <v>-19865751.607142858</v>
      </c>
      <c r="C30" s="110">
        <f t="shared" ref="C30:C33" si="14">+C29-B30</f>
        <v>-51650954.17857141</v>
      </c>
      <c r="D30" s="142">
        <f t="shared" si="12"/>
        <v>-19187509.818181816</v>
      </c>
      <c r="E30" s="98">
        <f>+E29-D30</f>
        <v>-67156284.363636374</v>
      </c>
      <c r="F30" s="143">
        <f>$F$27/$F$25</f>
        <v>-21329138.571428571</v>
      </c>
      <c r="G30" s="98">
        <f>+F27-F30</f>
        <v>-83183640.428571433</v>
      </c>
      <c r="H30" s="109"/>
      <c r="J30" s="109"/>
      <c r="K30" s="108"/>
      <c r="L30" s="75">
        <f>+B30+D30+F30</f>
        <v>-60382399.996753246</v>
      </c>
      <c r="N30" s="75">
        <f>+C30+E30+G30</f>
        <v>-201990878.97077921</v>
      </c>
    </row>
    <row r="31" spans="1:19">
      <c r="A31" s="70">
        <v>2017</v>
      </c>
      <c r="B31" s="109">
        <f t="shared" si="11"/>
        <v>-19865751.607142858</v>
      </c>
      <c r="C31" s="112">
        <f t="shared" si="14"/>
        <v>-31785202.571428552</v>
      </c>
      <c r="D31" s="109">
        <f t="shared" si="12"/>
        <v>-19187509.818181816</v>
      </c>
      <c r="E31" s="113">
        <f t="shared" ref="E31:E34" si="15">+E30-D31</f>
        <v>-47968774.545454562</v>
      </c>
      <c r="F31" s="132">
        <f>$F$27/$F$25</f>
        <v>-21329138.571428571</v>
      </c>
      <c r="G31" s="113">
        <f>+G30-F31</f>
        <v>-61854501.857142866</v>
      </c>
      <c r="H31" s="133">
        <f>$H$27/$H$25</f>
        <v>55832773.877551019</v>
      </c>
      <c r="I31" s="113">
        <f>+H27-H31</f>
        <v>217747818.12244898</v>
      </c>
      <c r="J31" s="109"/>
      <c r="K31" s="108"/>
      <c r="L31" s="115">
        <f>+B31+D31+F31+H31</f>
        <v>-4549626.1192022264</v>
      </c>
      <c r="N31" s="116">
        <f>+C31+E31+G31+I31</f>
        <v>76139339.148423016</v>
      </c>
    </row>
    <row r="32" spans="1:19">
      <c r="A32" s="70">
        <v>2018</v>
      </c>
      <c r="B32" s="109">
        <f t="shared" si="11"/>
        <v>-19865751.607142858</v>
      </c>
      <c r="C32" s="108">
        <f t="shared" si="14"/>
        <v>-11919450.964285694</v>
      </c>
      <c r="D32" s="109">
        <f t="shared" si="12"/>
        <v>-19187509.818181816</v>
      </c>
      <c r="E32" s="72">
        <f t="shared" si="15"/>
        <v>-28781264.727272745</v>
      </c>
      <c r="F32" s="132">
        <f>$F$27/$F$25</f>
        <v>-21329138.571428571</v>
      </c>
      <c r="G32" s="72">
        <f t="shared" ref="G32:G34" si="16">+G31-F32</f>
        <v>-40525363.285714298</v>
      </c>
      <c r="H32" s="133">
        <f t="shared" ref="H32:H34" si="17">$H$27/$H$25</f>
        <v>55832773.877551019</v>
      </c>
      <c r="I32" s="72">
        <f>+I31-H32</f>
        <v>161915044.24489796</v>
      </c>
      <c r="J32" s="124">
        <f>$J$27/$J$25</f>
        <v>0</v>
      </c>
      <c r="K32" s="125"/>
      <c r="L32" s="72">
        <f t="shared" ref="L32:L34" si="18">+B32+D32+F32</f>
        <v>-60382399.996753246</v>
      </c>
      <c r="N32" s="72">
        <f t="shared" ref="N32:N37" si="19">+C32+E32+G32</f>
        <v>-81226078.977272734</v>
      </c>
    </row>
    <row r="33" spans="1:14">
      <c r="A33" s="70">
        <v>2019</v>
      </c>
      <c r="B33" s="117">
        <f>B27-SUM(B28:B32)</f>
        <v>-11919450.964285702</v>
      </c>
      <c r="C33" s="108">
        <f t="shared" si="14"/>
        <v>0</v>
      </c>
      <c r="D33" s="109">
        <f t="shared" si="12"/>
        <v>-19187509.818181816</v>
      </c>
      <c r="E33" s="72">
        <f t="shared" si="15"/>
        <v>-9593754.9090909287</v>
      </c>
      <c r="F33" s="132">
        <f>$F$27/$F$25</f>
        <v>-21329138.571428571</v>
      </c>
      <c r="G33" s="72">
        <f t="shared" si="16"/>
        <v>-19196224.714285728</v>
      </c>
      <c r="H33" s="133">
        <f t="shared" si="17"/>
        <v>55832773.877551019</v>
      </c>
      <c r="I33" s="72">
        <f t="shared" ref="I33:I35" si="20">+I32-H33</f>
        <v>106082270.36734694</v>
      </c>
      <c r="J33" s="124">
        <f t="shared" ref="J33:J36" si="21">$J$27/$J$25</f>
        <v>0</v>
      </c>
      <c r="K33" s="125"/>
      <c r="L33" s="72">
        <f t="shared" si="18"/>
        <v>-52436099.353896089</v>
      </c>
      <c r="N33" s="72">
        <f t="shared" si="19"/>
        <v>-28789979.623376656</v>
      </c>
    </row>
    <row r="34" spans="1:14">
      <c r="A34" s="70">
        <v>2020</v>
      </c>
      <c r="B34" s="117"/>
      <c r="C34" s="108"/>
      <c r="D34" s="117">
        <f>D27-SUM(D29:D33)</f>
        <v>-9593754.9090909213</v>
      </c>
      <c r="E34" s="72">
        <f t="shared" si="15"/>
        <v>0</v>
      </c>
      <c r="F34" s="132">
        <f>+F27-SUM(F30:F33)</f>
        <v>-19196224.714285716</v>
      </c>
      <c r="G34" s="72">
        <f t="shared" si="16"/>
        <v>0</v>
      </c>
      <c r="H34" s="133">
        <f t="shared" si="17"/>
        <v>55832773.877551019</v>
      </c>
      <c r="I34" s="72">
        <f t="shared" si="20"/>
        <v>50249496.489795923</v>
      </c>
      <c r="J34" s="124">
        <f t="shared" si="21"/>
        <v>0</v>
      </c>
      <c r="K34" s="125"/>
      <c r="L34" s="72">
        <f t="shared" si="18"/>
        <v>-28789979.623376638</v>
      </c>
      <c r="N34" s="72">
        <f t="shared" si="19"/>
        <v>0</v>
      </c>
    </row>
    <row r="35" spans="1:14">
      <c r="A35" s="70">
        <v>2021</v>
      </c>
      <c r="F35" s="108"/>
      <c r="H35" s="133">
        <f>+H27-SUM(H31:H34)</f>
        <v>50249496.489795923</v>
      </c>
      <c r="I35" s="72">
        <f t="shared" si="20"/>
        <v>0</v>
      </c>
      <c r="J35" s="124">
        <f t="shared" si="21"/>
        <v>0</v>
      </c>
      <c r="K35" s="125"/>
      <c r="L35" s="72">
        <f t="shared" si="13"/>
        <v>0</v>
      </c>
      <c r="N35" s="72">
        <f t="shared" si="19"/>
        <v>0</v>
      </c>
    </row>
    <row r="36" spans="1:14">
      <c r="A36" s="70">
        <v>2022</v>
      </c>
      <c r="B36" s="109"/>
      <c r="C36" s="108"/>
      <c r="D36" s="109"/>
      <c r="F36" s="111"/>
      <c r="H36" s="108"/>
      <c r="J36" s="124">
        <f t="shared" si="21"/>
        <v>0</v>
      </c>
      <c r="K36" s="125"/>
      <c r="L36" s="72">
        <f t="shared" si="13"/>
        <v>0</v>
      </c>
      <c r="N36" s="72">
        <f t="shared" si="19"/>
        <v>0</v>
      </c>
    </row>
    <row r="37" spans="1:14">
      <c r="A37" s="70">
        <v>2023</v>
      </c>
      <c r="B37" s="86"/>
      <c r="D37" s="121"/>
      <c r="F37" s="119"/>
      <c r="H37" s="118"/>
      <c r="J37" s="120">
        <f>J27-SUM(J32:J36)</f>
        <v>0</v>
      </c>
      <c r="K37" s="108"/>
      <c r="L37" s="72">
        <f t="shared" si="13"/>
        <v>0</v>
      </c>
      <c r="N37" s="72">
        <f t="shared" si="19"/>
        <v>0</v>
      </c>
    </row>
    <row r="38" spans="1:14">
      <c r="B38" s="109">
        <f>SUM(B28:B33)</f>
        <v>-111248209</v>
      </c>
      <c r="C38" s="108"/>
      <c r="D38" s="109">
        <f>SUM(D28:D34)</f>
        <v>-105531304</v>
      </c>
      <c r="F38" s="109">
        <f>SUM(F28:F37)</f>
        <v>-104512779</v>
      </c>
      <c r="H38" s="109">
        <f>SUM(H28:H37)</f>
        <v>273580592</v>
      </c>
      <c r="J38" s="109">
        <f>SUM(J28:J37)</f>
        <v>0</v>
      </c>
      <c r="K38" s="108"/>
      <c r="L38" s="72">
        <f>SUM(L28:L37)</f>
        <v>-265459518.12244898</v>
      </c>
    </row>
    <row r="39" spans="1:14">
      <c r="B39" s="109"/>
      <c r="C39" s="108"/>
      <c r="D39" s="109"/>
      <c r="F39" s="109"/>
      <c r="H39" s="109"/>
      <c r="J39" s="109"/>
      <c r="K39" s="108"/>
      <c r="L39" s="72"/>
    </row>
    <row r="40" spans="1:14">
      <c r="B40" s="109"/>
      <c r="C40" s="108"/>
      <c r="D40" s="109">
        <f>+B38+D38+F38</f>
        <v>-321292292</v>
      </c>
      <c r="F40" s="109"/>
      <c r="H40" s="109"/>
      <c r="J40" s="109"/>
      <c r="K40" s="108"/>
    </row>
    <row r="41" spans="1:14">
      <c r="B41" s="109"/>
      <c r="C41" s="108"/>
      <c r="D41" s="109"/>
      <c r="F41" s="109"/>
      <c r="H41" s="109"/>
      <c r="J41" s="109"/>
      <c r="K41" s="108"/>
    </row>
    <row r="42" spans="1:14" ht="19.5">
      <c r="A42" s="102" t="s">
        <v>65</v>
      </c>
    </row>
    <row r="43" spans="1:14">
      <c r="B43" s="70">
        <v>5.6</v>
      </c>
      <c r="D43" s="70">
        <v>5.5</v>
      </c>
      <c r="F43" s="71">
        <v>4.9000000000000004</v>
      </c>
      <c r="H43" s="71"/>
      <c r="J43" s="82">
        <v>5.5</v>
      </c>
      <c r="L43" s="83" t="s">
        <v>64</v>
      </c>
    </row>
    <row r="44" spans="1:14" ht="30">
      <c r="B44" s="103">
        <v>2014</v>
      </c>
      <c r="C44" s="106"/>
      <c r="D44" s="103">
        <v>2015</v>
      </c>
      <c r="F44" s="103">
        <v>2016</v>
      </c>
      <c r="H44" s="103">
        <v>2017</v>
      </c>
      <c r="I44" s="105"/>
      <c r="J44" s="105">
        <v>2018</v>
      </c>
      <c r="K44" s="106"/>
      <c r="L44" s="134" t="s">
        <v>69</v>
      </c>
    </row>
    <row r="45" spans="1:14">
      <c r="B45" s="126">
        <f>74600000</f>
        <v>74600000</v>
      </c>
      <c r="C45" s="127"/>
      <c r="D45" s="128">
        <v>0</v>
      </c>
      <c r="F45" s="107">
        <v>13100000</v>
      </c>
      <c r="H45" s="107">
        <v>0</v>
      </c>
      <c r="J45" s="107">
        <v>0</v>
      </c>
      <c r="K45" s="108"/>
      <c r="L45" s="8"/>
    </row>
    <row r="46" spans="1:14">
      <c r="A46" s="70">
        <v>2014</v>
      </c>
      <c r="B46" s="109">
        <f>$B$45/$B$43</f>
        <v>13321428.571428573</v>
      </c>
      <c r="C46" s="108">
        <f>+B45-B46</f>
        <v>61278571.428571425</v>
      </c>
      <c r="D46" s="70">
        <v>0</v>
      </c>
      <c r="L46" s="72">
        <f t="shared" ref="L46:L55" si="22">+B46+D46</f>
        <v>13321428.571428573</v>
      </c>
    </row>
    <row r="47" spans="1:14">
      <c r="A47" s="70">
        <v>2015</v>
      </c>
      <c r="B47" s="109">
        <f t="shared" ref="B47:B50" si="23">$B$45/$B$43</f>
        <v>13321428.571428573</v>
      </c>
      <c r="C47" s="110">
        <f>+C46-B47</f>
        <v>47957142.857142851</v>
      </c>
      <c r="D47" s="70">
        <v>0</v>
      </c>
      <c r="F47" s="133"/>
      <c r="H47" s="109"/>
      <c r="J47" s="109"/>
      <c r="K47" s="108"/>
      <c r="L47" s="75">
        <f t="shared" si="22"/>
        <v>13321428.571428573</v>
      </c>
      <c r="N47" s="72">
        <f>+C47+E47</f>
        <v>47957142.857142851</v>
      </c>
    </row>
    <row r="48" spans="1:14">
      <c r="A48" s="70">
        <v>2016</v>
      </c>
      <c r="B48" s="109">
        <f t="shared" si="23"/>
        <v>13321428.571428573</v>
      </c>
      <c r="C48" s="110">
        <f t="shared" ref="C48:C51" si="24">+C47-B48</f>
        <v>34635714.285714276</v>
      </c>
      <c r="D48" s="70">
        <v>0</v>
      </c>
      <c r="F48" s="132">
        <f>$F$45/$F$43</f>
        <v>2673469.387755102</v>
      </c>
      <c r="G48" s="98">
        <f>+F45-F48</f>
        <v>10426530.612244898</v>
      </c>
      <c r="H48" s="109"/>
      <c r="J48" s="109"/>
      <c r="K48" s="108"/>
      <c r="L48" s="75">
        <f>+B48+D48+F48</f>
        <v>15994897.959183674</v>
      </c>
      <c r="M48" s="71"/>
      <c r="N48" s="75">
        <f>+C48+E48+G48</f>
        <v>45062244.897959173</v>
      </c>
    </row>
    <row r="49" spans="1:14">
      <c r="A49" s="70">
        <v>2017</v>
      </c>
      <c r="B49" s="109">
        <f t="shared" si="23"/>
        <v>13321428.571428573</v>
      </c>
      <c r="C49" s="112">
        <f t="shared" si="24"/>
        <v>21314285.714285702</v>
      </c>
      <c r="D49" s="70">
        <v>0</v>
      </c>
      <c r="F49" s="132">
        <f t="shared" ref="F49:F51" si="25">$F$45/$F$43</f>
        <v>2673469.387755102</v>
      </c>
      <c r="G49" s="113">
        <f>+G48-F49</f>
        <v>7753061.2244897969</v>
      </c>
      <c r="H49" s="133"/>
      <c r="J49" s="109"/>
      <c r="K49" s="108"/>
      <c r="L49" s="115">
        <f>+B49+D49+F49+H49</f>
        <v>15994897.959183674</v>
      </c>
      <c r="N49" s="116">
        <f>+C49+E49+G49+I49</f>
        <v>29067346.938775498</v>
      </c>
    </row>
    <row r="50" spans="1:14">
      <c r="A50" s="70">
        <v>2018</v>
      </c>
      <c r="B50" s="109">
        <f t="shared" si="23"/>
        <v>13321428.571428573</v>
      </c>
      <c r="C50" s="108">
        <f t="shared" si="24"/>
        <v>7992857.1428571288</v>
      </c>
      <c r="D50" s="70">
        <v>0</v>
      </c>
      <c r="F50" s="132">
        <f t="shared" si="25"/>
        <v>2673469.387755102</v>
      </c>
      <c r="G50" s="72">
        <f t="shared" ref="G50:G52" si="26">+G49-F50</f>
        <v>5079591.8367346954</v>
      </c>
      <c r="H50" s="133"/>
      <c r="J50" s="124">
        <f>$J$45/$J$43</f>
        <v>0</v>
      </c>
      <c r="K50" s="125"/>
      <c r="L50" s="72">
        <f t="shared" ref="L50:L51" si="27">+B50+D50+F50</f>
        <v>15994897.959183674</v>
      </c>
      <c r="N50" s="72">
        <f t="shared" ref="N50:N55" si="28">+C50+E50+G50</f>
        <v>13072448.979591824</v>
      </c>
    </row>
    <row r="51" spans="1:14">
      <c r="A51" s="70">
        <v>2019</v>
      </c>
      <c r="B51" s="117">
        <f>B45-SUM(B46:B50)</f>
        <v>7992857.1428571343</v>
      </c>
      <c r="C51" s="108">
        <f t="shared" si="24"/>
        <v>0</v>
      </c>
      <c r="D51" s="70">
        <v>0</v>
      </c>
      <c r="F51" s="132">
        <f t="shared" si="25"/>
        <v>2673469.387755102</v>
      </c>
      <c r="G51" s="72">
        <f t="shared" si="26"/>
        <v>2406122.4489795933</v>
      </c>
      <c r="H51" s="133"/>
      <c r="I51" s="1"/>
      <c r="J51" s="124">
        <f t="shared" ref="J51:J54" si="29">$J$45/$J$43</f>
        <v>0</v>
      </c>
      <c r="K51" s="125"/>
      <c r="L51" s="72">
        <f t="shared" si="27"/>
        <v>10666326.530612236</v>
      </c>
      <c r="N51" s="72">
        <f t="shared" si="28"/>
        <v>2406122.4489795933</v>
      </c>
    </row>
    <row r="52" spans="1:14">
      <c r="A52" s="70">
        <v>2020</v>
      </c>
      <c r="B52" s="117"/>
      <c r="C52" s="108"/>
      <c r="D52" s="1">
        <v>0</v>
      </c>
      <c r="F52" s="132">
        <f>+F45-SUM(F48:F51)</f>
        <v>2406122.448979592</v>
      </c>
      <c r="G52" s="72">
        <f t="shared" si="26"/>
        <v>0</v>
      </c>
      <c r="H52" s="133"/>
      <c r="J52" s="124">
        <f t="shared" si="29"/>
        <v>0</v>
      </c>
      <c r="K52" s="125"/>
      <c r="L52" s="72">
        <f>+B52+D52+F52</f>
        <v>2406122.448979592</v>
      </c>
      <c r="N52" s="72">
        <f t="shared" si="28"/>
        <v>0</v>
      </c>
    </row>
    <row r="53" spans="1:14">
      <c r="A53" s="70">
        <v>2021</v>
      </c>
      <c r="B53" s="117"/>
      <c r="C53" s="108"/>
      <c r="D53" s="1"/>
      <c r="F53" s="108"/>
      <c r="H53" s="133"/>
      <c r="J53" s="124">
        <f t="shared" si="29"/>
        <v>0</v>
      </c>
      <c r="K53" s="125"/>
      <c r="L53" s="72">
        <f>+B53+D53+F53</f>
        <v>0</v>
      </c>
      <c r="N53" s="72">
        <f t="shared" si="28"/>
        <v>0</v>
      </c>
    </row>
    <row r="54" spans="1:14">
      <c r="A54" s="70">
        <v>2022</v>
      </c>
      <c r="B54" s="117"/>
      <c r="C54" s="108"/>
      <c r="D54" s="1"/>
      <c r="F54" s="133"/>
      <c r="H54" s="108"/>
      <c r="J54" s="124">
        <f t="shared" si="29"/>
        <v>0</v>
      </c>
      <c r="K54" s="125"/>
      <c r="L54" s="72">
        <f t="shared" si="22"/>
        <v>0</v>
      </c>
      <c r="N54" s="72">
        <f t="shared" si="28"/>
        <v>0</v>
      </c>
    </row>
    <row r="55" spans="1:14">
      <c r="A55" s="70">
        <v>2023</v>
      </c>
      <c r="B55" s="118"/>
      <c r="C55" s="108"/>
      <c r="D55" s="86"/>
      <c r="F55" s="119"/>
      <c r="H55" s="118"/>
      <c r="J55" s="120">
        <f>J45-SUM(J50:J54)</f>
        <v>0</v>
      </c>
      <c r="K55" s="108"/>
      <c r="L55" s="121">
        <f t="shared" si="22"/>
        <v>0</v>
      </c>
      <c r="N55" s="72">
        <f t="shared" si="28"/>
        <v>0</v>
      </c>
    </row>
    <row r="56" spans="1:14">
      <c r="B56" s="109">
        <f>SUM(B46:B55)</f>
        <v>74600000</v>
      </c>
      <c r="C56" s="108"/>
      <c r="D56" s="109">
        <f>SUM(D46:D55)</f>
        <v>0</v>
      </c>
      <c r="F56" s="109">
        <f>SUM(F46:F55)</f>
        <v>13100000</v>
      </c>
      <c r="H56" s="109">
        <f>SUM(H46:H55)</f>
        <v>0</v>
      </c>
      <c r="J56" s="109">
        <f>SUM(J46:J55)</f>
        <v>0</v>
      </c>
      <c r="K56" s="108"/>
      <c r="L56" s="72">
        <f>SUM(L46:L55)</f>
        <v>87699999.999999985</v>
      </c>
    </row>
    <row r="58" spans="1:14">
      <c r="A58" s="71"/>
      <c r="B58" s="117"/>
      <c r="C58" s="108"/>
      <c r="L58" s="72"/>
    </row>
    <row r="59" spans="1:14">
      <c r="A59" s="70" t="s">
        <v>66</v>
      </c>
      <c r="N59" s="129">
        <f>+N12+N31+N49</f>
        <v>11031957.287198562</v>
      </c>
    </row>
    <row r="60" spans="1:14">
      <c r="A60" s="70">
        <v>2017</v>
      </c>
      <c r="B60" s="72">
        <f>L12+L31+L49</f>
        <v>-85450008.160018548</v>
      </c>
      <c r="C60" s="130"/>
    </row>
    <row r="61" spans="1:14">
      <c r="A61" s="70">
        <v>2018</v>
      </c>
      <c r="B61" s="72">
        <f t="shared" ref="B61:B64" si="30">L13+L32+L50</f>
        <v>-141282782.03756958</v>
      </c>
      <c r="C61" s="130"/>
    </row>
    <row r="62" spans="1:14">
      <c r="A62" s="70">
        <v>2019</v>
      </c>
      <c r="B62" s="72">
        <f t="shared" si="30"/>
        <v>91841058.976716161</v>
      </c>
      <c r="C62" s="130"/>
    </row>
    <row r="63" spans="1:14">
      <c r="A63" s="70">
        <v>2020</v>
      </c>
      <c r="B63" s="72">
        <f t="shared" si="30"/>
        <v>-13931216.77439704</v>
      </c>
      <c r="C63" s="130"/>
    </row>
    <row r="64" spans="1:14">
      <c r="A64" s="70">
        <v>2021</v>
      </c>
      <c r="B64" s="72">
        <f t="shared" si="30"/>
        <v>0</v>
      </c>
      <c r="C64" s="130"/>
    </row>
    <row r="65" spans="1:11">
      <c r="B65" s="129">
        <f>SUM(B60:B63)</f>
        <v>-148822947.99526903</v>
      </c>
      <c r="C65" s="130"/>
      <c r="D65" s="88" t="s">
        <v>72</v>
      </c>
    </row>
    <row r="68" spans="1:11">
      <c r="A68" s="131" t="s">
        <v>67</v>
      </c>
    </row>
    <row r="69" spans="1:11">
      <c r="B69" s="103">
        <v>2014</v>
      </c>
      <c r="C69" s="106"/>
      <c r="D69" s="103">
        <v>2015</v>
      </c>
      <c r="E69" s="105"/>
      <c r="F69" s="103">
        <v>2016</v>
      </c>
      <c r="H69" s="103">
        <v>2017</v>
      </c>
      <c r="J69" s="103" t="s">
        <v>10</v>
      </c>
      <c r="K69" s="70"/>
    </row>
    <row r="70" spans="1:11">
      <c r="A70" s="70">
        <v>2017</v>
      </c>
      <c r="B70" s="72">
        <f>B12+B31+B49</f>
        <v>-237050434.83571431</v>
      </c>
      <c r="D70" s="72">
        <f>D12+D31+D49</f>
        <v>101970681.58181819</v>
      </c>
      <c r="F70" s="72">
        <f>F12+F31+F49</f>
        <v>137139892.21632653</v>
      </c>
      <c r="H70" s="72">
        <f>H12+H31+H49</f>
        <v>-87510147.122448981</v>
      </c>
      <c r="J70" s="72">
        <f>B70+D70+F70+H70</f>
        <v>-85450008.160018563</v>
      </c>
      <c r="K70" s="70"/>
    </row>
    <row r="71" spans="1:11">
      <c r="A71" s="70">
        <v>2018</v>
      </c>
      <c r="B71" s="72">
        <f t="shared" ref="B71:B73" si="31">B13+B32+B50</f>
        <v>-237050434.83571431</v>
      </c>
      <c r="D71" s="72">
        <f t="shared" ref="D71:D74" si="32">D13+D32+D50</f>
        <v>101970681.58181819</v>
      </c>
      <c r="F71" s="72">
        <f t="shared" ref="F71:F74" si="33">F13+F32+F50</f>
        <v>137139892.21632653</v>
      </c>
      <c r="H71" s="72">
        <f t="shared" ref="H71:H74" si="34">H13+H32+H50</f>
        <v>-87510147.122448981</v>
      </c>
      <c r="J71" s="72">
        <f t="shared" ref="J71:J74" si="35">B71+D71+F71+H71</f>
        <v>-85450008.160018563</v>
      </c>
      <c r="K71" s="70"/>
    </row>
    <row r="72" spans="1:11">
      <c r="A72" s="70">
        <v>2019</v>
      </c>
      <c r="B72" s="72">
        <f t="shared" si="31"/>
        <v>-3926593.8214285672</v>
      </c>
      <c r="D72" s="72">
        <f t="shared" si="32"/>
        <v>101970681.58181819</v>
      </c>
      <c r="F72" s="72">
        <f t="shared" si="33"/>
        <v>137139892.21632653</v>
      </c>
      <c r="H72" s="72">
        <f t="shared" si="34"/>
        <v>-87510147.122448981</v>
      </c>
      <c r="J72" s="72">
        <f t="shared" si="35"/>
        <v>147673832.85426718</v>
      </c>
      <c r="K72" s="70"/>
    </row>
    <row r="73" spans="1:11">
      <c r="A73" s="70">
        <v>2020</v>
      </c>
      <c r="B73" s="72">
        <f t="shared" si="31"/>
        <v>0</v>
      </c>
      <c r="D73" s="72">
        <f t="shared" si="32"/>
        <v>-9593754.9090909213</v>
      </c>
      <c r="F73" s="72">
        <f t="shared" si="33"/>
        <v>139005459.13469389</v>
      </c>
      <c r="H73" s="72">
        <f t="shared" si="34"/>
        <v>-87510147.122448981</v>
      </c>
      <c r="J73" s="72">
        <f t="shared" si="35"/>
        <v>41901557.103153989</v>
      </c>
      <c r="K73" s="70"/>
    </row>
    <row r="74" spans="1:11">
      <c r="A74" s="70">
        <v>2021</v>
      </c>
      <c r="D74" s="72">
        <f t="shared" si="32"/>
        <v>0</v>
      </c>
      <c r="F74" s="72">
        <f t="shared" si="33"/>
        <v>0</v>
      </c>
      <c r="H74" s="72">
        <f t="shared" si="34"/>
        <v>-93093424.510204077</v>
      </c>
      <c r="J74" s="72">
        <f t="shared" si="35"/>
        <v>-93093424.510204077</v>
      </c>
      <c r="K74" s="70"/>
    </row>
    <row r="75" spans="1:11">
      <c r="J75" s="129">
        <f>SUM(J70:J74)</f>
        <v>-74418050.872820035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Eric Carpenter</cp:lastModifiedBy>
  <cp:lastPrinted>2015-11-13T22:57:08Z</cp:lastPrinted>
  <dcterms:created xsi:type="dcterms:W3CDTF">2009-09-23T16:56:24Z</dcterms:created>
  <dcterms:modified xsi:type="dcterms:W3CDTF">2022-05-06T20:50:48Z</dcterms:modified>
</cp:coreProperties>
</file>