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Manderson\Desktop\CFO\GASB 72\Schools\"/>
    </mc:Choice>
  </mc:AlternateContent>
  <xr:revisionPtr revIDLastSave="0" documentId="13_ncr:1_{BCC6F824-8BDE-41C4-BCFE-740B3FC06A7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7" l="1"/>
  <c r="E40" i="7"/>
  <c r="E25" i="7"/>
  <c r="E28" i="7" l="1"/>
  <c r="H16" i="6" s="1"/>
  <c r="E38" i="7"/>
  <c r="G16" i="6" l="1"/>
  <c r="B25" i="8" s="1"/>
  <c r="H20" i="6" l="1"/>
  <c r="G20" i="6" l="1"/>
  <c r="L23" i="8" s="1"/>
  <c r="G38" i="8"/>
  <c r="B38" i="8" l="1"/>
  <c r="C38" i="8"/>
  <c r="I25" i="7"/>
  <c r="K23" i="7"/>
  <c r="I20" i="7"/>
  <c r="I28" i="7" l="1"/>
  <c r="H15" i="6" l="1"/>
  <c r="C26" i="8" s="1"/>
  <c r="G15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H73" i="13" s="1"/>
  <c r="F15" i="13"/>
  <c r="J14" i="13"/>
  <c r="H14" i="13"/>
  <c r="H72" i="13" s="1"/>
  <c r="F14" i="13"/>
  <c r="J13" i="13"/>
  <c r="H13" i="13"/>
  <c r="F13" i="13"/>
  <c r="F71" i="13" s="1"/>
  <c r="H12" i="13"/>
  <c r="F12" i="13"/>
  <c r="F11" i="13"/>
  <c r="D8" i="13"/>
  <c r="D11" i="13" s="1"/>
  <c r="B8" i="13"/>
  <c r="B9" i="13" s="1"/>
  <c r="L9" i="13" s="1"/>
  <c r="G49" i="13" l="1"/>
  <c r="G50" i="13" s="1"/>
  <c r="G51" i="13" s="1"/>
  <c r="G31" i="13"/>
  <c r="G32" i="13" s="1"/>
  <c r="H70" i="13"/>
  <c r="I12" i="13"/>
  <c r="I13" i="13" s="1"/>
  <c r="I14" i="13" s="1"/>
  <c r="I15" i="13" s="1"/>
  <c r="I16" i="13" s="1"/>
  <c r="H35" i="13"/>
  <c r="I31" i="13"/>
  <c r="I32" i="13" s="1"/>
  <c r="I33" i="13" s="1"/>
  <c r="I34" i="13" s="1"/>
  <c r="I35" i="13" s="1"/>
  <c r="H71" i="13"/>
  <c r="H74" i="13"/>
  <c r="J74" i="13" s="1"/>
  <c r="B64" i="13"/>
  <c r="J55" i="13"/>
  <c r="J56" i="13" s="1"/>
  <c r="J19" i="13"/>
  <c r="G33" i="13"/>
  <c r="B28" i="13"/>
  <c r="L28" i="13" s="1"/>
  <c r="F72" i="13"/>
  <c r="F70" i="13"/>
  <c r="L15" i="13"/>
  <c r="L32" i="13"/>
  <c r="B30" i="13"/>
  <c r="B31" i="13"/>
  <c r="C9" i="13"/>
  <c r="B12" i="13"/>
  <c r="D30" i="13"/>
  <c r="H19" i="13"/>
  <c r="B29" i="13"/>
  <c r="F19" i="13"/>
  <c r="J37" i="13"/>
  <c r="J38" i="13" s="1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G34" i="13" s="1"/>
  <c r="B49" i="13"/>
  <c r="L49" i="13" s="1"/>
  <c r="B50" i="13"/>
  <c r="L50" i="13" s="1"/>
  <c r="B46" i="13"/>
  <c r="C46" i="13" s="1"/>
  <c r="C47" i="13" s="1"/>
  <c r="B48" i="13"/>
  <c r="L48" i="13" s="1"/>
  <c r="D14" i="13"/>
  <c r="D72" i="13" s="1"/>
  <c r="D13" i="13"/>
  <c r="D71" i="13" s="1"/>
  <c r="D12" i="13"/>
  <c r="D70" i="13" s="1"/>
  <c r="D10" i="13"/>
  <c r="D31" i="13"/>
  <c r="F52" i="13"/>
  <c r="L52" i="13" s="1"/>
  <c r="D34" i="13" l="1"/>
  <c r="D73" i="13" s="1"/>
  <c r="L12" i="13"/>
  <c r="L31" i="13"/>
  <c r="B33" i="13"/>
  <c r="L33" i="13" s="1"/>
  <c r="B70" i="13"/>
  <c r="J70" i="13" s="1"/>
  <c r="C28" i="13"/>
  <c r="C29" i="13" s="1"/>
  <c r="B71" i="13"/>
  <c r="J71" i="13" s="1"/>
  <c r="B38" i="13"/>
  <c r="F73" i="13"/>
  <c r="F38" i="13"/>
  <c r="L30" i="13"/>
  <c r="B51" i="13"/>
  <c r="L51" i="13" s="1"/>
  <c r="L34" i="13"/>
  <c r="B63" i="13" s="1"/>
  <c r="B19" i="13"/>
  <c r="L10" i="13"/>
  <c r="C10" i="13"/>
  <c r="L14" i="13"/>
  <c r="C48" i="13"/>
  <c r="N47" i="13"/>
  <c r="D38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B60" i="13" l="1"/>
  <c r="D1" i="13"/>
  <c r="L38" i="13"/>
  <c r="J73" i="13"/>
  <c r="C30" i="13"/>
  <c r="N30" i="13" s="1"/>
  <c r="N29" i="13"/>
  <c r="D40" i="13"/>
  <c r="B56" i="13"/>
  <c r="B62" i="13"/>
  <c r="B65" i="13" s="1"/>
  <c r="B72" i="13"/>
  <c r="J72" i="13" s="1"/>
  <c r="J75" i="13" s="1"/>
  <c r="D21" i="13"/>
  <c r="L56" i="13"/>
  <c r="N48" i="13"/>
  <c r="C49" i="13"/>
  <c r="N49" i="13" s="1"/>
  <c r="C31" i="13"/>
  <c r="N31" i="13" s="1"/>
  <c r="N10" i="13"/>
  <c r="C11" i="13"/>
  <c r="L19" i="13"/>
  <c r="C32" i="13" l="1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I38" i="7" l="1"/>
  <c r="G38" i="7"/>
  <c r="K38" i="7" l="1"/>
  <c r="H23" i="6"/>
  <c r="H42" i="8" l="1"/>
  <c r="M38" i="7"/>
  <c r="O38" i="7"/>
  <c r="D6" i="6"/>
  <c r="K20" i="7"/>
  <c r="B22" i="8" s="1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W25" i="7"/>
  <c r="E39" i="7"/>
  <c r="I39" i="7" s="1"/>
  <c r="G40" i="7"/>
  <c r="E41" i="7"/>
  <c r="G41" i="7" s="1"/>
  <c r="E42" i="7"/>
  <c r="O28" i="7" l="1"/>
  <c r="I41" i="7"/>
  <c r="K41" i="7" s="1"/>
  <c r="G42" i="7"/>
  <c r="I42" i="7"/>
  <c r="G19" i="6"/>
  <c r="L22" i="8" s="1"/>
  <c r="L27" i="8" s="1"/>
  <c r="H19" i="6"/>
  <c r="M22" i="8" s="1"/>
  <c r="I40" i="7"/>
  <c r="K40" i="7" s="1"/>
  <c r="G28" i="7"/>
  <c r="Q28" i="7"/>
  <c r="M28" i="7"/>
  <c r="W28" i="7"/>
  <c r="G39" i="7"/>
  <c r="K39" i="7" s="1"/>
  <c r="K42" i="7" l="1"/>
  <c r="O42" i="7" s="1"/>
  <c r="H18" i="6"/>
  <c r="H23" i="8" s="1"/>
  <c r="G18" i="6"/>
  <c r="G23" i="8" s="1"/>
  <c r="H14" i="6"/>
  <c r="C24" i="8" s="1"/>
  <c r="G14" i="6"/>
  <c r="B24" i="8" s="1"/>
  <c r="H17" i="6"/>
  <c r="H24" i="8" s="1"/>
  <c r="G17" i="6"/>
  <c r="G24" i="8" s="1"/>
  <c r="H13" i="6"/>
  <c r="G13" i="6"/>
  <c r="M39" i="7"/>
  <c r="O39" i="7"/>
  <c r="O40" i="7"/>
  <c r="M40" i="7"/>
  <c r="M41" i="7"/>
  <c r="O41" i="7"/>
  <c r="M42" i="7" l="1"/>
  <c r="O43" i="7" s="1"/>
  <c r="O45" i="7" s="1"/>
  <c r="M11" i="8"/>
  <c r="H24" i="6"/>
  <c r="L11" i="8"/>
  <c r="G24" i="6"/>
  <c r="H28" i="8"/>
  <c r="G28" i="8"/>
  <c r="B29" i="8"/>
  <c r="C29" i="8"/>
  <c r="M43" i="7" l="1"/>
  <c r="M45" i="7" s="1"/>
  <c r="M14" i="8"/>
  <c r="B31" i="8"/>
  <c r="H31" i="8"/>
  <c r="J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<sst xmlns="http://schemas.openxmlformats.org/spreadsheetml/2006/main" count="130" uniqueCount="91">
  <si>
    <t xml:space="preserve">NOTE:  The highlighted amounts will need updated to respective employer.  The JE's are set up to auto populate from these schedules.  </t>
  </si>
  <si>
    <t>SCHEDULE OF EMPLOYER ALLOCATIONS</t>
  </si>
  <si>
    <t>FY22</t>
  </si>
  <si>
    <t>FY21</t>
  </si>
  <si>
    <t>Total</t>
  </si>
  <si>
    <t>Employer</t>
  </si>
  <si>
    <t>Proportionate</t>
  </si>
  <si>
    <t>Contributions</t>
  </si>
  <si>
    <t>Allocation</t>
  </si>
  <si>
    <t>Employer A</t>
  </si>
  <si>
    <t>SCHEDULE OF COLLECTIVE PENSION AMOUNTS</t>
  </si>
  <si>
    <t>Deferred Outflows of Resources</t>
  </si>
  <si>
    <t>Deferred Inflows of Resources</t>
  </si>
  <si>
    <t>Net Difference Between Projected and Actual Investment Earnings on OPEB Plan Investments</t>
  </si>
  <si>
    <t>Changes of Assumptions</t>
  </si>
  <si>
    <t>Differences Between Expected and Actual Experience</t>
  </si>
  <si>
    <t>Total Deferred Outflows of Resources Excluding Employer Specific Amounts*</t>
  </si>
  <si>
    <t>Total Deferred Inflows of Resources Excluding Employer Specific Amounts*</t>
  </si>
  <si>
    <t>Plan Pension Expense/ (Expense Offset)</t>
  </si>
  <si>
    <t>Net Pension Liability/(Asset)</t>
  </si>
  <si>
    <t>portion</t>
  </si>
  <si>
    <t>Employer Cumulative Portion</t>
  </si>
  <si>
    <t>Change Employer portion</t>
  </si>
  <si>
    <t>Collective</t>
  </si>
  <si>
    <t>Amounts</t>
  </si>
  <si>
    <t>Percent</t>
  </si>
  <si>
    <t>Change</t>
  </si>
  <si>
    <t>Debit</t>
  </si>
  <si>
    <t>Credit</t>
  </si>
  <si>
    <t>DOR - Experience</t>
  </si>
  <si>
    <t>DOR - Assumptions</t>
  </si>
  <si>
    <t>DIR - Investments</t>
  </si>
  <si>
    <t>DIR - Experience</t>
  </si>
  <si>
    <t>Net Pension Liability (Asset)</t>
  </si>
  <si>
    <t>Change in Proportionate Share</t>
  </si>
  <si>
    <t xml:space="preserve">NOTE:  The highlighted amounts will need updated to respective employer.  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</si>
  <si>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</si>
  <si>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Journal Entries for</t>
  </si>
  <si>
    <t>Net Pension Liability (credit) / Asset (debit)</t>
  </si>
  <si>
    <t>Change in Net Pension Liability per allocation report</t>
  </si>
  <si>
    <t>Deferred Outflow of Resources - Assumptions</t>
  </si>
  <si>
    <t>Change in DOR per allocation report</t>
  </si>
  <si>
    <t>Deferred Outflow of Resources - Experience</t>
  </si>
  <si>
    <t>Deferred Outflow of Resources - Investments</t>
  </si>
  <si>
    <t>Deferred Inflow of Resources -  Investments</t>
  </si>
  <si>
    <t>Change in DIR per allocation report</t>
  </si>
  <si>
    <t>Deferred Inflow of Resources - Experience</t>
  </si>
  <si>
    <t>Pension Expense (debit) / Revenue (credit)</t>
  </si>
  <si>
    <t>Pension expense / revenue per actuary</t>
  </si>
  <si>
    <t>Deferred Outflows (balance sheet)</t>
  </si>
  <si>
    <t>Reversing PY deferred outflows - contributions</t>
  </si>
  <si>
    <t>Change in proportionate share</t>
  </si>
  <si>
    <t>Deferred Outflow of Resources (balance sheet)</t>
  </si>
  <si>
    <t>Represent contributions from July 1, 2022 to employer year end</t>
  </si>
  <si>
    <t>Contribution expense</t>
  </si>
  <si>
    <t>***Change in proportionate share</t>
  </si>
  <si>
    <t>work with your auditor regarding</t>
  </si>
  <si>
    <t>where to book this entry</t>
  </si>
  <si>
    <t>**REMEMBER TO CARRY FORWARD YOUR PREVIOUS YEAR'S BALANCES FOR GOVERNMENT WIDE FINANCIALS**</t>
  </si>
  <si>
    <t>Net Pension Liability</t>
  </si>
  <si>
    <t>Beg Bal</t>
  </si>
  <si>
    <t>1)</t>
  </si>
  <si>
    <t>Proportionate Share of</t>
  </si>
  <si>
    <t>Collective Deferred Outflows</t>
  </si>
  <si>
    <t>Collective Deferred Inflows</t>
  </si>
  <si>
    <t>Collective Pension Expense/Revenue</t>
  </si>
  <si>
    <t>Ending Bal</t>
  </si>
  <si>
    <t>Cash to PERSI</t>
  </si>
  <si>
    <t>Contribution Expense</t>
  </si>
  <si>
    <t>1) record current year entry</t>
  </si>
  <si>
    <t>a) already recorded on employers GL - contributions paid to PERSI</t>
  </si>
  <si>
    <t>Change in proportionate share not reflected in this illustration entry would depend upon treatment</t>
  </si>
  <si>
    <t>Current Year Expense FY 2017</t>
  </si>
  <si>
    <t>In Red in what ties to the Actuarial Report of "Schedule of  Deferred Inflows and Outflows of Resources"</t>
  </si>
  <si>
    <t>layered balances for each year</t>
  </si>
  <si>
    <t>Investments</t>
  </si>
  <si>
    <t>Remaining Balance</t>
  </si>
  <si>
    <t>Total Recognized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</si>
  <si>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</si>
  <si>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</si>
  <si>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</si>
  <si>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</si>
  <si>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</si>
  <si>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**Add your proportionate share to amount</t>
  </si>
  <si>
    <t xml:space="preserve">Future Pension Expense </t>
  </si>
  <si>
    <t>FY23</t>
  </si>
  <si>
    <t>FY22 Data</t>
  </si>
  <si>
    <t>FY23 Cumulative Data</t>
  </si>
  <si>
    <t>June 30, 2024 Entry</t>
  </si>
  <si>
    <t>T-Account Illustration for Employers with 6/30/24 FYE</t>
  </si>
  <si>
    <t>Using 6/30/23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</si>
</sst>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1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1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1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1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1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1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1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1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2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2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2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2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2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2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2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2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3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4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05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08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09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0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1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4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15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16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44" fillId="0" borderId="0"/>
    <xf numFmtId="0" fontId="101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17" fillId="0" borderId="0"/>
    <xf numFmtId="0" fontId="117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7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17" fillId="0" borderId="0"/>
    <xf numFmtId="0" fontId="18" fillId="0" borderId="0">
      <alignment vertical="top"/>
    </xf>
    <xf numFmtId="0" fontId="101" fillId="0" borderId="0"/>
    <xf numFmtId="0" fontId="118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19" fillId="0" borderId="0"/>
    <xf numFmtId="37" fontId="11" fillId="39" borderId="8" applyBorder="0">
      <alignment horizontal="left" vertical="center" indent="2"/>
    </xf>
    <xf numFmtId="0" fontId="4" fillId="0" borderId="0"/>
    <xf numFmtId="0" fontId="117" fillId="0" borderId="0"/>
    <xf numFmtId="0" fontId="101" fillId="0" borderId="0"/>
    <xf numFmtId="0" fontId="3" fillId="0" borderId="0"/>
    <xf numFmtId="0" fontId="101" fillId="0" borderId="0"/>
    <xf numFmtId="0" fontId="4" fillId="0" borderId="0"/>
    <xf numFmtId="0" fontId="117" fillId="0" borderId="0"/>
    <xf numFmtId="0" fontId="3" fillId="0" borderId="0"/>
    <xf numFmtId="0" fontId="101" fillId="0" borderId="0"/>
    <xf numFmtId="0" fontId="101" fillId="0" borderId="0"/>
    <xf numFmtId="0" fontId="117" fillId="0" borderId="0"/>
    <xf numFmtId="0" fontId="4" fillId="0" borderId="0"/>
    <xf numFmtId="0" fontId="101" fillId="0" borderId="0"/>
    <xf numFmtId="0" fontId="117" fillId="0" borderId="0"/>
    <xf numFmtId="0" fontId="3" fillId="0" borderId="0"/>
    <xf numFmtId="0" fontId="58" fillId="0" borderId="0"/>
    <xf numFmtId="0" fontId="8" fillId="0" borderId="0"/>
    <xf numFmtId="0" fontId="117" fillId="0" borderId="0"/>
    <xf numFmtId="0" fontId="10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17" fillId="0" borderId="0"/>
    <xf numFmtId="0" fontId="5" fillId="0" borderId="0"/>
    <xf numFmtId="0" fontId="119" fillId="0" borderId="0"/>
    <xf numFmtId="0" fontId="3" fillId="0" borderId="0"/>
    <xf numFmtId="0" fontId="4" fillId="0" borderId="0"/>
    <xf numFmtId="0" fontId="101" fillId="0" borderId="0"/>
    <xf numFmtId="0" fontId="58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1" fillId="0" borderId="0"/>
    <xf numFmtId="0" fontId="117" fillId="0" borderId="0"/>
    <xf numFmtId="0" fontId="101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17" fillId="0" borderId="0"/>
    <xf numFmtId="0" fontId="119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1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7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1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101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0" fillId="0" borderId="0"/>
    <xf numFmtId="0" fontId="10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9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1" fillId="0" borderId="0"/>
    <xf numFmtId="0" fontId="1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1" fillId="0" borderId="0"/>
    <xf numFmtId="0" fontId="117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3" fillId="0" borderId="0"/>
    <xf numFmtId="0" fontId="4" fillId="0" borderId="0"/>
    <xf numFmtId="0" fontId="44" fillId="0" borderId="0"/>
    <xf numFmtId="0" fontId="117" fillId="0" borderId="0"/>
    <xf numFmtId="0" fontId="44" fillId="0" borderId="0"/>
    <xf numFmtId="0" fontId="44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1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3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1" fillId="0" borderId="0" applyFont="0" applyFill="0" applyBorder="0" applyAlignment="0" applyProtection="0"/>
  </cellStyleXfs>
  <cellXfs count="139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0" fontId="95" fillId="0" borderId="0" xfId="0" applyFont="1" applyAlignment="1">
      <alignment horizontal="center" wrapText="1"/>
    </xf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164" fontId="0" fillId="0" borderId="24" xfId="0" applyNumberFormat="1" applyBorder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191" fontId="98" fillId="0" borderId="0" xfId="0" applyNumberFormat="1" applyFont="1" applyAlignment="1">
      <alignment horizontal="center"/>
    </xf>
    <xf numFmtId="42" fontId="0" fillId="0" borderId="19" xfId="0" applyNumberFormat="1" applyBorder="1"/>
    <xf numFmtId="165" fontId="101" fillId="0" borderId="0" xfId="729" applyNumberFormat="1" applyFont="1"/>
    <xf numFmtId="0" fontId="0" fillId="0" borderId="29" xfId="0" applyBorder="1"/>
    <xf numFmtId="0" fontId="0" fillId="79" borderId="0" xfId="0" applyFill="1"/>
    <xf numFmtId="164" fontId="101" fillId="0" borderId="24" xfId="1115" applyNumberFormat="1" applyFont="1" applyFill="1" applyBorder="1"/>
    <xf numFmtId="164" fontId="101" fillId="0" borderId="24" xfId="111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0" fillId="80" borderId="0" xfId="0" applyFill="1"/>
    <xf numFmtId="0" fontId="125" fillId="0" borderId="0" xfId="0" applyFont="1"/>
    <xf numFmtId="165" fontId="127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4" fillId="0" borderId="0" xfId="0" applyFont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0" fontId="127" fillId="0" borderId="0" xfId="0" applyFont="1"/>
    <xf numFmtId="165" fontId="127" fillId="0" borderId="0" xfId="0" applyNumberFormat="1" applyFont="1"/>
    <xf numFmtId="165" fontId="127" fillId="0" borderId="0" xfId="729" applyNumberFormat="1" applyFont="1"/>
    <xf numFmtId="165" fontId="126" fillId="81" borderId="0" xfId="0" applyNumberFormat="1" applyFont="1" applyFill="1"/>
    <xf numFmtId="0" fontId="129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27" fillId="0" borderId="0" xfId="2755" applyNumberFormat="1" applyFont="1" applyFill="1" applyBorder="1"/>
    <xf numFmtId="43" fontId="0" fillId="0" borderId="0" xfId="2755" applyFont="1"/>
    <xf numFmtId="165" fontId="124" fillId="0" borderId="0" xfId="2755" applyNumberFormat="1" applyFont="1" applyFill="1" applyBorder="1"/>
    <xf numFmtId="165" fontId="124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80" borderId="0" xfId="2755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0" fontId="0" fillId="82" borderId="0" xfId="0" applyFill="1" applyAlignment="1">
      <alignment horizontal="right"/>
    </xf>
    <xf numFmtId="165" fontId="126" fillId="83" borderId="0" xfId="0" applyNumberFormat="1" applyFont="1" applyFill="1"/>
    <xf numFmtId="0" fontId="126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26" fillId="81" borderId="0" xfId="0" applyFont="1" applyFill="1" applyAlignment="1">
      <alignment horizontal="center" wrapText="1"/>
    </xf>
    <xf numFmtId="0" fontId="126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0" fillId="0" borderId="0" xfId="0" applyFont="1" applyAlignment="1">
      <alignment horizontal="left"/>
    </xf>
    <xf numFmtId="0" fontId="132" fillId="0" borderId="20" xfId="0" applyFont="1" applyBorder="1"/>
    <xf numFmtId="165" fontId="128" fillId="0" borderId="34" xfId="729" applyNumberFormat="1" applyFont="1" applyBorder="1"/>
    <xf numFmtId="165" fontId="127" fillId="0" borderId="0" xfId="2755" applyNumberFormat="1" applyFont="1"/>
    <xf numFmtId="165" fontId="127" fillId="0" borderId="0" xfId="2755" applyNumberFormat="1" applyFont="1" applyFill="1"/>
    <xf numFmtId="164" fontId="101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4" fillId="0" borderId="0" xfId="0" applyNumberFormat="1" applyFont="1" applyAlignment="1">
      <alignment wrapText="1"/>
    </xf>
    <xf numFmtId="164" fontId="0" fillId="81" borderId="0" xfId="0" applyNumberFormat="1" applyFill="1"/>
    <xf numFmtId="165" fontId="101" fillId="0" borderId="0" xfId="809" applyNumberFormat="1" applyFont="1" applyFill="1" applyBorder="1"/>
    <xf numFmtId="0" fontId="0" fillId="0" borderId="50" xfId="0" applyBorder="1"/>
    <xf numFmtId="0" fontId="0" fillId="0" borderId="30" xfId="0" applyBorder="1"/>
    <xf numFmtId="0" fontId="95" fillId="0" borderId="30" xfId="0" applyFont="1" applyBorder="1" applyAlignment="1">
      <alignment horizontal="center" wrapText="1"/>
    </xf>
    <xf numFmtId="10" fontId="0" fillId="0" borderId="0" xfId="2336" applyNumberFormat="1" applyFont="1"/>
    <xf numFmtId="0" fontId="130" fillId="0" borderId="0" xfId="0" applyFont="1" applyAlignment="1">
      <alignment horizontal="left" wrapText="1"/>
    </xf>
    <xf numFmtId="165" fontId="2" fillId="0" borderId="0" xfId="784" applyNumberFormat="1" applyFont="1" applyBorder="1"/>
    <xf numFmtId="0" fontId="92" fillId="0" borderId="28" xfId="0" applyFont="1" applyBorder="1"/>
    <xf numFmtId="0" fontId="92" fillId="0" borderId="0" xfId="0" applyFont="1" applyAlignment="1">
      <alignment horizontal="center"/>
    </xf>
    <xf numFmtId="164" fontId="2" fillId="0" borderId="0" xfId="1110" applyNumberFormat="1" applyFont="1" applyBorder="1"/>
    <xf numFmtId="44" fontId="2" fillId="0" borderId="0" xfId="1110" applyFont="1" applyBorder="1"/>
    <xf numFmtId="0" fontId="98" fillId="0" borderId="29" xfId="0" applyFont="1" applyBorder="1"/>
    <xf numFmtId="165" fontId="2" fillId="0" borderId="0" xfId="729" applyNumberFormat="1" applyFont="1" applyFill="1" applyBorder="1"/>
    <xf numFmtId="165" fontId="2" fillId="0" borderId="0" xfId="729" applyNumberFormat="1" applyFont="1" applyFill="1"/>
    <xf numFmtId="165" fontId="2" fillId="47" borderId="0" xfId="729" applyNumberFormat="1" applyFont="1" applyFill="1" applyAlignment="1">
      <alignment horizontal="right"/>
    </xf>
    <xf numFmtId="165" fontId="2" fillId="0" borderId="20" xfId="729" applyNumberFormat="1" applyFont="1" applyFill="1" applyBorder="1" applyAlignment="1">
      <alignment horizontal="right"/>
    </xf>
    <xf numFmtId="165" fontId="98" fillId="0" borderId="17" xfId="729" applyNumberFormat="1" applyFont="1" applyBorder="1"/>
    <xf numFmtId="165" fontId="2" fillId="0" borderId="20" xfId="729" applyNumberFormat="1" applyFont="1" applyBorder="1"/>
    <xf numFmtId="165" fontId="98" fillId="0" borderId="35" xfId="729" applyNumberFormat="1" applyFont="1" applyBorder="1"/>
    <xf numFmtId="165" fontId="98" fillId="0" borderId="34" xfId="729" applyNumberFormat="1" applyFont="1" applyBorder="1"/>
    <xf numFmtId="165" fontId="2" fillId="0" borderId="49" xfId="729" applyNumberFormat="1" applyFont="1" applyBorder="1"/>
    <xf numFmtId="165" fontId="2" fillId="0" borderId="48" xfId="729" applyNumberFormat="1" applyFont="1" applyBorder="1"/>
    <xf numFmtId="165" fontId="2" fillId="0" borderId="0" xfId="729" applyNumberFormat="1" applyFont="1" applyBorder="1"/>
    <xf numFmtId="165" fontId="98" fillId="0" borderId="0" xfId="729" applyNumberFormat="1" applyFont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92" fillId="0" borderId="0" xfId="0" applyFont="1" applyAlignment="1">
      <alignment horizontal="left" wrapText="1"/>
    </xf>
    <xf numFmtId="0" fontId="130" fillId="0" borderId="0" xfId="0" applyFont="1" applyAlignment="1">
      <alignment horizontal="left" wrapText="1"/>
    </xf>
    <xf numFmtId="0" fontId="98" fillId="0" borderId="20" xfId="0" applyFont="1" applyBorder="1" applyAlignment="1">
      <alignment horizontal="center"/>
    </xf>
    <xf numFmtId="0" fontId="98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25" fillId="0" borderId="0" xfId="0" applyFont="1" applyAlignment="1">
      <alignment horizontal="center"/>
    </xf>
    <xf numFmtId="42" fontId="2" fillId="0" borderId="31" xfId="845" applyNumberFormat="1" applyFont="1" applyFill="1" applyBorder="1"/>
    <xf numFmtId="42" fontId="2" fillId="0" borderId="31" xfId="845" applyNumberFormat="1" applyFont="1" applyBorder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workbookViewId="0">
      <selection activeCell="K10" sqref="K10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ht="36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3" spans="1:23">
      <c r="A3" s="8" t="s">
        <v>1</v>
      </c>
    </row>
    <row r="4" spans="1:23">
      <c r="A4" s="8"/>
    </row>
    <row r="5" spans="1:23">
      <c r="A5" s="8"/>
      <c r="I5" s="17" t="s">
        <v>85</v>
      </c>
      <c r="K5" s="17" t="s">
        <v>85</v>
      </c>
      <c r="M5" s="17" t="s">
        <v>2</v>
      </c>
      <c r="O5" s="17" t="s">
        <v>2</v>
      </c>
    </row>
    <row r="6" spans="1:23">
      <c r="I6" s="17" t="s">
        <v>4</v>
      </c>
      <c r="K6" s="35" t="s">
        <v>5</v>
      </c>
      <c r="M6" s="17" t="s">
        <v>4</v>
      </c>
      <c r="O6" s="35" t="s">
        <v>5</v>
      </c>
    </row>
    <row r="7" spans="1:23">
      <c r="I7" s="17" t="s">
        <v>5</v>
      </c>
      <c r="K7" s="35" t="s">
        <v>6</v>
      </c>
      <c r="M7" s="17" t="s">
        <v>5</v>
      </c>
      <c r="O7" s="35" t="s">
        <v>6</v>
      </c>
    </row>
    <row r="8" spans="1:23">
      <c r="A8" s="17" t="s">
        <v>5</v>
      </c>
      <c r="B8" s="17"/>
      <c r="C8" s="17"/>
      <c r="D8" s="17"/>
      <c r="E8" s="17"/>
      <c r="F8" s="17"/>
      <c r="G8" s="17"/>
      <c r="H8" s="16"/>
      <c r="I8" s="17" t="s">
        <v>7</v>
      </c>
      <c r="K8" s="35" t="s">
        <v>8</v>
      </c>
      <c r="M8" s="17" t="s">
        <v>7</v>
      </c>
      <c r="O8" s="35" t="s">
        <v>8</v>
      </c>
    </row>
    <row r="9" spans="1:23">
      <c r="A9" s="19" t="s">
        <v>9</v>
      </c>
      <c r="I9" s="42">
        <v>964942</v>
      </c>
      <c r="K9" s="43">
        <v>0.10761849900000001</v>
      </c>
      <c r="M9" s="42">
        <v>964942</v>
      </c>
      <c r="O9" s="43">
        <v>0.10761849900000001</v>
      </c>
    </row>
    <row r="10" spans="1:23">
      <c r="A10" s="19"/>
      <c r="I10" s="20"/>
      <c r="K10" s="21"/>
    </row>
    <row r="11" spans="1:23">
      <c r="A11" s="19"/>
      <c r="I11" s="20"/>
      <c r="K11" s="21"/>
    </row>
    <row r="12" spans="1:23">
      <c r="A12" s="19"/>
      <c r="I12" s="20"/>
      <c r="K12" s="21"/>
    </row>
    <row r="13" spans="1:23" ht="15.75" thickBot="1">
      <c r="A13" s="8" t="s">
        <v>10</v>
      </c>
    </row>
    <row r="14" spans="1:23">
      <c r="A14" s="24"/>
      <c r="B14" s="25"/>
      <c r="C14" s="26"/>
      <c r="D14" s="26"/>
      <c r="E14" s="128" t="s">
        <v>11</v>
      </c>
      <c r="F14" s="129"/>
      <c r="G14" s="129"/>
      <c r="H14" s="129"/>
      <c r="I14" s="129"/>
      <c r="J14" s="129"/>
      <c r="K14" s="130"/>
      <c r="L14" s="27"/>
      <c r="M14" s="128" t="s">
        <v>12</v>
      </c>
      <c r="N14" s="129"/>
      <c r="O14" s="129"/>
      <c r="P14" s="129"/>
      <c r="Q14" s="129"/>
      <c r="R14" s="129"/>
      <c r="S14" s="130"/>
      <c r="T14" s="26"/>
      <c r="U14" s="26"/>
      <c r="V14" s="26"/>
      <c r="W14" s="28"/>
    </row>
    <row r="15" spans="1:23" ht="18" customHeight="1">
      <c r="A15" s="2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8"/>
    </row>
    <row r="16" spans="1:23" ht="90" customHeight="1">
      <c r="A16" s="29"/>
      <c r="C16" s="12"/>
      <c r="D16" s="7"/>
      <c r="E16" s="12" t="s">
        <v>13</v>
      </c>
      <c r="F16" s="7"/>
      <c r="G16" s="18" t="s">
        <v>14</v>
      </c>
      <c r="H16" s="12"/>
      <c r="I16" s="12" t="s">
        <v>15</v>
      </c>
      <c r="J16" s="12"/>
      <c r="K16" s="18" t="s">
        <v>16</v>
      </c>
      <c r="L16" s="7"/>
      <c r="M16" s="18" t="s">
        <v>13</v>
      </c>
      <c r="N16" s="7"/>
      <c r="O16" s="18" t="s">
        <v>14</v>
      </c>
      <c r="P16" s="7"/>
      <c r="Q16" s="18" t="s">
        <v>15</v>
      </c>
      <c r="R16" s="7"/>
      <c r="S16" s="18" t="s">
        <v>17</v>
      </c>
      <c r="T16" s="7"/>
      <c r="U16" s="18" t="s">
        <v>18</v>
      </c>
      <c r="V16" s="18"/>
      <c r="W16" s="107" t="s">
        <v>19</v>
      </c>
    </row>
    <row r="17" spans="1:26" ht="15.75" thickBot="1">
      <c r="A17" s="29" t="s">
        <v>86</v>
      </c>
      <c r="C17" s="90"/>
      <c r="D17" s="7"/>
      <c r="E17" s="40">
        <v>31707959</v>
      </c>
      <c r="G17" s="40">
        <v>14860012</v>
      </c>
      <c r="H17" s="96"/>
      <c r="I17" s="40">
        <v>18388486</v>
      </c>
      <c r="K17" s="22">
        <v>64956457</v>
      </c>
      <c r="M17" s="41">
        <v>0</v>
      </c>
      <c r="O17" s="41">
        <v>34196056</v>
      </c>
      <c r="Q17" s="40">
        <v>0</v>
      </c>
      <c r="S17" s="22">
        <v>34196056</v>
      </c>
      <c r="U17" s="22">
        <v>9776235</v>
      </c>
      <c r="V17" s="15"/>
      <c r="W17" s="138">
        <v>-76127065</v>
      </c>
      <c r="X17" s="15"/>
    </row>
    <row r="18" spans="1:26" ht="15.75" thickTop="1">
      <c r="A18" s="29"/>
      <c r="C18" s="110"/>
      <c r="E18" s="110"/>
      <c r="F18" s="110"/>
      <c r="G18" s="110"/>
      <c r="H18" s="110"/>
      <c r="I18" s="110"/>
      <c r="K18" s="13"/>
      <c r="M18" s="110"/>
      <c r="S18" s="13"/>
      <c r="U18" s="13"/>
      <c r="V18" s="13"/>
      <c r="W18" s="38"/>
    </row>
    <row r="19" spans="1:26">
      <c r="A19" s="29"/>
      <c r="D19" s="14"/>
      <c r="U19" s="11"/>
      <c r="V19" s="11"/>
      <c r="W19" s="38"/>
    </row>
    <row r="20" spans="1:26">
      <c r="A20" s="111" t="str">
        <f>A9</f>
        <v>Employer A</v>
      </c>
      <c r="B20" s="112" t="s">
        <v>20</v>
      </c>
      <c r="C20" s="15"/>
      <c r="D20" s="15"/>
      <c r="E20" s="15">
        <f>ROUND((E17*$O$9),0)</f>
        <v>3412363</v>
      </c>
      <c r="F20" s="15"/>
      <c r="G20" s="15">
        <f>ROUND((G17*$O$9),0)</f>
        <v>1599212</v>
      </c>
      <c r="H20" s="15"/>
      <c r="I20" s="15">
        <f>ROUND((I17*$O$9),0)</f>
        <v>1978941</v>
      </c>
      <c r="J20" s="15"/>
      <c r="K20" s="15">
        <f>ROUND((K17*$O$9),0)</f>
        <v>6990516</v>
      </c>
      <c r="L20" s="15"/>
      <c r="M20" s="15">
        <f>ROUND((M17*$O$9),0)</f>
        <v>0</v>
      </c>
      <c r="N20" s="15"/>
      <c r="O20" s="15">
        <f>ROUND((O17*$O$9),0)</f>
        <v>3680128</v>
      </c>
      <c r="P20" s="15"/>
      <c r="Q20" s="15">
        <f>ROUND((Q17*$O$9),0)</f>
        <v>0</v>
      </c>
      <c r="R20" s="15"/>
      <c r="S20" s="15">
        <f>ROUND((S17*$O$9),0)</f>
        <v>3680128</v>
      </c>
      <c r="T20" s="15"/>
      <c r="U20" s="15">
        <f>ROUND((U17*$O$9),0)</f>
        <v>1052104</v>
      </c>
      <c r="V20" s="15"/>
      <c r="W20" s="30">
        <f>ROUND((W17*$O$9),0)</f>
        <v>-8192680</v>
      </c>
    </row>
    <row r="21" spans="1:26">
      <c r="A21" s="29"/>
      <c r="U21" s="15"/>
      <c r="V21" s="15"/>
      <c r="W21" s="38"/>
    </row>
    <row r="22" spans="1:26">
      <c r="A22" s="29"/>
      <c r="C22" s="12"/>
      <c r="E22" s="113"/>
      <c r="G22" s="113"/>
      <c r="H22" s="113"/>
      <c r="I22" s="113"/>
      <c r="K22" s="114"/>
      <c r="U22" s="15"/>
      <c r="V22" s="15"/>
      <c r="W22" s="38"/>
    </row>
    <row r="23" spans="1:26" ht="15.75" thickBot="1">
      <c r="A23" s="29" t="s">
        <v>87</v>
      </c>
      <c r="C23" s="11"/>
      <c r="E23" s="40">
        <v>18411187</v>
      </c>
      <c r="G23" s="40">
        <v>17346575</v>
      </c>
      <c r="H23" s="96"/>
      <c r="I23" s="40">
        <v>14630430</v>
      </c>
      <c r="K23" s="22">
        <f>SUM(E23:J23)</f>
        <v>50388192</v>
      </c>
      <c r="M23" s="40">
        <v>0</v>
      </c>
      <c r="O23" s="22">
        <v>28858047</v>
      </c>
      <c r="Q23" s="40">
        <v>931637</v>
      </c>
      <c r="S23" s="22">
        <f>SUM(M23:Q23)</f>
        <v>29789684</v>
      </c>
      <c r="U23" s="22">
        <v>13710944</v>
      </c>
      <c r="V23" s="15"/>
      <c r="W23" s="137">
        <v>-72566393</v>
      </c>
      <c r="Z23" s="11"/>
    </row>
    <row r="24" spans="1:26" ht="15.75" thickTop="1">
      <c r="A24" s="29"/>
      <c r="U24" s="15"/>
      <c r="V24" s="15"/>
      <c r="W24" s="38"/>
    </row>
    <row r="25" spans="1:26">
      <c r="A25" s="111" t="s">
        <v>21</v>
      </c>
      <c r="B25" s="112"/>
      <c r="C25" s="15"/>
      <c r="E25" s="15">
        <f>ROUND((E23*$K$9),0)</f>
        <v>1981384</v>
      </c>
      <c r="G25" s="15">
        <f>ROUND((G23*$K$9),0)</f>
        <v>1866812</v>
      </c>
      <c r="H25" s="15"/>
      <c r="I25" s="15">
        <f>ROUND((I23*$K$9),0)</f>
        <v>1574505</v>
      </c>
      <c r="K25" s="15">
        <f>ROUND((K23*$K$9),0)</f>
        <v>5422702</v>
      </c>
      <c r="M25" s="15">
        <f>ROUND((M23*$K$9),0)</f>
        <v>0</v>
      </c>
      <c r="O25" s="15">
        <f>ROUND((O23*$K$9),0)</f>
        <v>3105660</v>
      </c>
      <c r="Q25" s="15">
        <f>ROUND((Q23*$K$9),0)</f>
        <v>100261</v>
      </c>
      <c r="S25" s="15">
        <f>ROUND((S23*$K$9),0)</f>
        <v>3205921</v>
      </c>
      <c r="U25" s="15">
        <f>ROUND((U23*$K$9),0)</f>
        <v>1475551</v>
      </c>
      <c r="V25" s="15"/>
      <c r="W25" s="30">
        <f>ROUND((W23*$K$9),0)</f>
        <v>-7809486</v>
      </c>
    </row>
    <row r="26" spans="1:26">
      <c r="A26" s="29"/>
      <c r="U26" s="15"/>
      <c r="V26" s="15"/>
      <c r="W26" s="38"/>
    </row>
    <row r="27" spans="1:26">
      <c r="A27" s="29"/>
      <c r="U27" s="15"/>
      <c r="V27" s="15"/>
      <c r="W27" s="31"/>
    </row>
    <row r="28" spans="1:26">
      <c r="A28" s="29" t="s">
        <v>22</v>
      </c>
      <c r="E28" s="15">
        <f>E25-E20</f>
        <v>-1430979</v>
      </c>
      <c r="G28" s="15">
        <f>G25-G20</f>
        <v>267600</v>
      </c>
      <c r="H28" s="15"/>
      <c r="I28" s="15">
        <f>+I25-I20</f>
        <v>-404436</v>
      </c>
      <c r="M28" s="15">
        <f>M25-M20</f>
        <v>0</v>
      </c>
      <c r="O28" s="15">
        <f>O25-O20</f>
        <v>-574468</v>
      </c>
      <c r="Q28" s="15">
        <f>Q25-Q20</f>
        <v>100261</v>
      </c>
      <c r="S28" s="15"/>
      <c r="U28" s="15"/>
      <c r="V28" s="15"/>
      <c r="W28" s="30">
        <f>+W25-W20</f>
        <v>383194</v>
      </c>
    </row>
    <row r="29" spans="1:26">
      <c r="A29" s="29"/>
      <c r="U29" s="15"/>
      <c r="V29" s="15"/>
      <c r="W29" s="38"/>
    </row>
    <row r="30" spans="1:26" ht="15.75" thickBot="1">
      <c r="A30" s="32"/>
      <c r="B30" s="33"/>
      <c r="C30" s="33"/>
      <c r="D30" s="33"/>
      <c r="E30" s="33"/>
      <c r="F30" s="33"/>
      <c r="G30" s="36"/>
      <c r="H30" s="36"/>
      <c r="I30" s="36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4"/>
    </row>
    <row r="33" spans="1:18" ht="15.75" thickBot="1">
      <c r="A33" s="8"/>
      <c r="R33" s="49"/>
    </row>
    <row r="34" spans="1:18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8"/>
    </row>
    <row r="35" spans="1:18">
      <c r="A35" s="29"/>
      <c r="E35" s="17" t="s">
        <v>3</v>
      </c>
      <c r="G35" s="17" t="s">
        <v>3</v>
      </c>
      <c r="I35" s="17" t="s">
        <v>2</v>
      </c>
      <c r="Q35" s="38"/>
    </row>
    <row r="36" spans="1:18">
      <c r="A36" s="29"/>
      <c r="E36" s="17" t="s">
        <v>23</v>
      </c>
      <c r="G36" s="17" t="s">
        <v>8</v>
      </c>
      <c r="I36" s="17" t="s">
        <v>8</v>
      </c>
      <c r="Q36" s="38"/>
    </row>
    <row r="37" spans="1:18">
      <c r="A37" s="29"/>
      <c r="E37" s="17" t="s">
        <v>24</v>
      </c>
      <c r="G37" s="17" t="s">
        <v>25</v>
      </c>
      <c r="I37" s="17" t="s">
        <v>25</v>
      </c>
      <c r="K37" s="17" t="s">
        <v>26</v>
      </c>
      <c r="M37" s="17" t="s">
        <v>27</v>
      </c>
      <c r="O37" s="17" t="s">
        <v>28</v>
      </c>
      <c r="Q37" s="115"/>
    </row>
    <row r="38" spans="1:18">
      <c r="A38" s="29"/>
      <c r="C38" s="4" t="s">
        <v>29</v>
      </c>
      <c r="E38" s="116">
        <f>I17</f>
        <v>18388486</v>
      </c>
      <c r="G38" s="116">
        <f>E38*O9</f>
        <v>1978941.2622025141</v>
      </c>
      <c r="I38" s="116">
        <f>E38*K9</f>
        <v>1978941.2622025141</v>
      </c>
      <c r="K38" s="116">
        <f>I38-G38</f>
        <v>0</v>
      </c>
      <c r="M38" s="104">
        <f>IF(K38&gt;0,K38,)</f>
        <v>0</v>
      </c>
      <c r="N38" s="104"/>
      <c r="O38" s="104">
        <f>IF(K38&lt;0,-K38,)</f>
        <v>0</v>
      </c>
      <c r="Q38" s="38"/>
    </row>
    <row r="39" spans="1:18">
      <c r="A39" s="29"/>
      <c r="C39" s="4" t="s">
        <v>30</v>
      </c>
      <c r="E39" s="116">
        <f>G17</f>
        <v>14860012</v>
      </c>
      <c r="G39" s="116">
        <f>E39*O9</f>
        <v>1599212.1865619882</v>
      </c>
      <c r="H39" s="116"/>
      <c r="I39" s="116">
        <f>E39*K9</f>
        <v>1599212.1865619882</v>
      </c>
      <c r="J39" s="116"/>
      <c r="K39" s="116">
        <f>I39-G39</f>
        <v>0</v>
      </c>
      <c r="L39" s="116"/>
      <c r="M39" s="104">
        <f>IF(K39&gt;0,K39,)</f>
        <v>0</v>
      </c>
      <c r="N39" s="104"/>
      <c r="O39" s="104">
        <f>IF(K39&lt;0,-K39,)</f>
        <v>0</v>
      </c>
      <c r="Q39" s="38"/>
    </row>
    <row r="40" spans="1:18">
      <c r="A40" s="29"/>
      <c r="C40" s="4" t="s">
        <v>31</v>
      </c>
      <c r="E40" s="116">
        <f>M17-E17</f>
        <v>-31707959</v>
      </c>
      <c r="G40" s="116">
        <f>E40*O9</f>
        <v>-3412362.9539335412</v>
      </c>
      <c r="H40" s="116"/>
      <c r="I40" s="116">
        <f>E40*K9</f>
        <v>-3412362.9539335412</v>
      </c>
      <c r="J40" s="116"/>
      <c r="K40" s="116">
        <f>I40-G40</f>
        <v>0</v>
      </c>
      <c r="L40" s="116"/>
      <c r="M40" s="104">
        <f>IF(K40&lt;0,-K40,)</f>
        <v>0</v>
      </c>
      <c r="N40" s="104"/>
      <c r="O40" s="104">
        <f>IF(K40&gt;0,K40,)</f>
        <v>0</v>
      </c>
      <c r="Q40" s="38"/>
    </row>
    <row r="41" spans="1:18">
      <c r="A41" s="29"/>
      <c r="C41" s="4" t="s">
        <v>32</v>
      </c>
      <c r="E41" s="116">
        <f>Q17</f>
        <v>0</v>
      </c>
      <c r="G41" s="116">
        <f>E41*O9</f>
        <v>0</v>
      </c>
      <c r="H41" s="116"/>
      <c r="I41" s="116">
        <f>E41*K9</f>
        <v>0</v>
      </c>
      <c r="J41" s="116"/>
      <c r="K41" s="116">
        <f>I41-G41</f>
        <v>0</v>
      </c>
      <c r="L41" s="116"/>
      <c r="M41" s="104">
        <f>IF(K41&lt;0,-K41,)</f>
        <v>0</v>
      </c>
      <c r="N41" s="104"/>
      <c r="O41" s="104">
        <f>IF(K41&gt;0,K41,)</f>
        <v>0</v>
      </c>
      <c r="Q41" s="38"/>
    </row>
    <row r="42" spans="1:18">
      <c r="A42" s="29"/>
      <c r="C42" s="4" t="s">
        <v>33</v>
      </c>
      <c r="E42" s="116">
        <f>W17</f>
        <v>-76127065</v>
      </c>
      <c r="G42" s="116">
        <f>E42*O9</f>
        <v>-8192680.4685754357</v>
      </c>
      <c r="H42" s="116"/>
      <c r="I42" s="116">
        <f>E42*K9</f>
        <v>-8192680.4685754357</v>
      </c>
      <c r="J42" s="116"/>
      <c r="K42" s="116">
        <f>I42-G42</f>
        <v>0</v>
      </c>
      <c r="L42" s="116"/>
      <c r="M42" s="104">
        <f>IF(K42&lt;0,-K42,)</f>
        <v>0</v>
      </c>
      <c r="N42" s="104"/>
      <c r="O42" s="104">
        <f>IF(K42&gt;0,K42,)</f>
        <v>0</v>
      </c>
      <c r="Q42" s="38"/>
    </row>
    <row r="43" spans="1:18">
      <c r="A43" s="29"/>
      <c r="C43" s="4" t="s">
        <v>34</v>
      </c>
      <c r="G43" s="116"/>
      <c r="H43" s="116"/>
      <c r="I43" s="116"/>
      <c r="J43" s="116"/>
      <c r="K43" s="116"/>
      <c r="L43" s="116"/>
      <c r="M43" s="104" t="str">
        <f>IF(SUM(M38:M42)&lt;SUM(O38:O42),SUM(O38:O42)-SUM(M38:M42),"")</f>
        <v/>
      </c>
      <c r="N43" s="104"/>
      <c r="O43" s="104" t="str">
        <f>IF(SUM(O38:O42)&lt;SUM(M38:M42),SUM(M38:M42)-SUM(O38:O42),"")</f>
        <v/>
      </c>
      <c r="Q43" s="38"/>
    </row>
    <row r="44" spans="1:18">
      <c r="A44" s="29"/>
      <c r="Q44" s="38"/>
    </row>
    <row r="45" spans="1:18" s="3" customFormat="1">
      <c r="A45" s="105"/>
      <c r="M45" s="76">
        <f>SUM(M38:M43)</f>
        <v>0</v>
      </c>
      <c r="O45" s="76">
        <f>SUM(O38:O43)</f>
        <v>0</v>
      </c>
      <c r="Q45" s="106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38"/>
  <sheetViews>
    <sheetView zoomScale="80" zoomScaleNormal="80" workbookViewId="0">
      <selection activeCell="J24" sqref="J24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30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10.570312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32" t="s">
        <v>35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17" ht="15.75">
      <c r="A2" s="91" t="s">
        <v>36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ht="15.75">
      <c r="A3" s="91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17" ht="15.75">
      <c r="A4" s="91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5.75">
      <c r="A5" s="91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>
      <c r="B6" s="1" t="s">
        <v>37</v>
      </c>
      <c r="C6" s="3"/>
      <c r="D6" s="1" t="str">
        <f>Input!A9</f>
        <v>Employer A</v>
      </c>
    </row>
    <row r="7" spans="1:17">
      <c r="B7" s="8"/>
      <c r="D7" s="8"/>
    </row>
    <row r="8" spans="1:17">
      <c r="D8" s="8"/>
      <c r="G8" s="98"/>
      <c r="H8" s="98"/>
    </row>
    <row r="9" spans="1:17">
      <c r="G9" s="97"/>
      <c r="H9" s="97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92" t="s">
        <v>88</v>
      </c>
      <c r="C12" s="1"/>
    </row>
    <row r="13" spans="1:17">
      <c r="B13" t="s">
        <v>38</v>
      </c>
      <c r="C13" s="8"/>
      <c r="G13" s="47" t="str">
        <f>IF(Input!W28&lt;0,-Input!W28,"")</f>
        <v/>
      </c>
      <c r="H13" s="97">
        <f>IF(Input!W28&lt;0,"",Input!W28)</f>
        <v>383194</v>
      </c>
      <c r="I13" s="9"/>
      <c r="J13" s="2" t="s">
        <v>39</v>
      </c>
      <c r="K13" s="48"/>
    </row>
    <row r="14" spans="1:17">
      <c r="B14" t="s">
        <v>40</v>
      </c>
      <c r="C14" s="8"/>
      <c r="G14" s="47">
        <f>IF(Input!G28&lt;0,"",Input!G28)</f>
        <v>267600</v>
      </c>
      <c r="H14" s="97" t="str">
        <f>IF(Input!G28&lt;0,-Input!G28,"")</f>
        <v/>
      </c>
      <c r="I14" s="9"/>
      <c r="J14" s="2" t="s">
        <v>41</v>
      </c>
      <c r="K14" s="23"/>
    </row>
    <row r="15" spans="1:17">
      <c r="B15" t="s">
        <v>42</v>
      </c>
      <c r="C15" s="8"/>
      <c r="G15" s="47" t="str">
        <f>IF(Input!I28&lt;0,"",Input!I28)</f>
        <v/>
      </c>
      <c r="H15" s="97">
        <f>IF(Input!I28&lt;0,-Input!I28,"")</f>
        <v>404436</v>
      </c>
      <c r="I15" s="9"/>
      <c r="J15" s="2" t="s">
        <v>41</v>
      </c>
      <c r="K15" s="23"/>
    </row>
    <row r="16" spans="1:17">
      <c r="B16" t="s">
        <v>43</v>
      </c>
      <c r="C16" s="8"/>
      <c r="G16" s="47" t="str">
        <f>IF(Input!E28&lt;0,"",Input!E28)</f>
        <v/>
      </c>
      <c r="H16" s="97">
        <f>IF(Input!E28&lt;0,-Input!E28,"")</f>
        <v>1430979</v>
      </c>
      <c r="I16" s="9"/>
      <c r="J16" s="2"/>
      <c r="K16" s="23"/>
    </row>
    <row r="17" spans="2:20">
      <c r="B17" t="s">
        <v>44</v>
      </c>
      <c r="C17" s="8"/>
      <c r="G17" s="97" t="str">
        <f>IF(Input!M28&lt;0,-Input!M28,"")</f>
        <v/>
      </c>
      <c r="H17" s="47">
        <f>IF(Input!M28&lt;0,"",Input!M28)</f>
        <v>0</v>
      </c>
      <c r="I17" s="9"/>
      <c r="J17" s="2" t="s">
        <v>45</v>
      </c>
    </row>
    <row r="18" spans="2:20">
      <c r="B18" t="s">
        <v>46</v>
      </c>
      <c r="C18" s="8"/>
      <c r="G18" s="97" t="str">
        <f>IF(Input!Q28&lt;0,-Input!Q28,"")</f>
        <v/>
      </c>
      <c r="H18" s="47">
        <f>IF(Input!Q28&lt;0,"",Input!Q28)</f>
        <v>100261</v>
      </c>
      <c r="I18" s="9"/>
      <c r="J18" s="2" t="s">
        <v>45</v>
      </c>
      <c r="P18" s="5"/>
    </row>
    <row r="19" spans="2:20">
      <c r="B19" t="s">
        <v>47</v>
      </c>
      <c r="G19" s="47">
        <f>IF(Input!U25&lt;0,"",Input!U25)</f>
        <v>1475551</v>
      </c>
      <c r="H19" s="47" t="str">
        <f>IF(Input!U25&lt;0,-Input!U25,"")</f>
        <v/>
      </c>
      <c r="J19" s="2" t="s">
        <v>48</v>
      </c>
      <c r="P19" s="13"/>
    </row>
    <row r="20" spans="2:20">
      <c r="B20" t="s">
        <v>49</v>
      </c>
      <c r="G20" s="98" t="str">
        <f>IF(Input!I9&lt;0,-Input!I9,"")</f>
        <v/>
      </c>
      <c r="H20" s="98">
        <f>IF(Input!I9&lt;0,"",Input!I9)</f>
        <v>964942</v>
      </c>
      <c r="J20" s="2" t="s">
        <v>50</v>
      </c>
      <c r="P20" s="13"/>
    </row>
    <row r="21" spans="2:20">
      <c r="B21" s="39" t="s">
        <v>51</v>
      </c>
      <c r="C21" s="39"/>
      <c r="D21" s="39"/>
      <c r="G21" s="117"/>
      <c r="H21" s="98"/>
    </row>
    <row r="22" spans="2:20">
      <c r="B22" t="s">
        <v>52</v>
      </c>
      <c r="G22" s="118"/>
      <c r="H22" s="99"/>
      <c r="J22" s="2" t="s">
        <v>53</v>
      </c>
    </row>
    <row r="23" spans="2:20">
      <c r="B23" t="s">
        <v>54</v>
      </c>
      <c r="G23" s="100"/>
      <c r="H23" s="119">
        <f>+G22</f>
        <v>0</v>
      </c>
    </row>
    <row r="24" spans="2:20">
      <c r="B24" s="10"/>
      <c r="G24" s="9">
        <f>SUM(G8:G21)</f>
        <v>1743151</v>
      </c>
      <c r="H24" s="9">
        <f>SUM(H8:H21)</f>
        <v>3283812</v>
      </c>
      <c r="J24" s="103">
        <f>IF(G24&gt;H24,G24-H24,H24-G24)</f>
        <v>1540661</v>
      </c>
      <c r="K24" s="2" t="s">
        <v>55</v>
      </c>
    </row>
    <row r="25" spans="2:20">
      <c r="B25" s="2"/>
      <c r="G25" s="4"/>
      <c r="H25" s="4"/>
      <c r="K25" s="2" t="s">
        <v>56</v>
      </c>
    </row>
    <row r="26" spans="2:20">
      <c r="G26" s="4"/>
      <c r="H26" s="4"/>
      <c r="K26" s="2" t="s">
        <v>57</v>
      </c>
    </row>
    <row r="28" spans="2:20">
      <c r="J28" s="46"/>
    </row>
    <row r="29" spans="2:20">
      <c r="J29" s="13"/>
      <c r="Q29" s="108"/>
      <c r="T29" s="108"/>
    </row>
    <row r="30" spans="2:20" ht="72.75" customHeight="1">
      <c r="K30" s="102"/>
    </row>
    <row r="38" spans="10:10">
      <c r="J38" s="101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M14" sqref="M1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35" t="s">
        <v>89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22.5">
      <c r="A2" s="135" t="s">
        <v>90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>
      <c r="A3" s="136" t="s">
        <v>58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9" spans="1:14">
      <c r="K9" s="133" t="s">
        <v>59</v>
      </c>
      <c r="L9" s="133"/>
      <c r="M9" s="133"/>
      <c r="N9" s="133"/>
    </row>
    <row r="10" spans="1:14">
      <c r="I10" s="16"/>
      <c r="K10" s="48"/>
      <c r="L10" s="50"/>
      <c r="M10" s="48">
        <f>+Input!W20</f>
        <v>-8192680</v>
      </c>
      <c r="N10" s="48" t="s">
        <v>60</v>
      </c>
    </row>
    <row r="11" spans="1:14">
      <c r="I11" s="16"/>
      <c r="K11" s="48"/>
      <c r="L11" s="53" t="str">
        <f>+'JE''s'!G13</f>
        <v/>
      </c>
      <c r="M11" s="57">
        <f>+'JE''s'!H13</f>
        <v>383194</v>
      </c>
      <c r="N11" s="57" t="s">
        <v>61</v>
      </c>
    </row>
    <row r="12" spans="1:14">
      <c r="I12" s="16"/>
      <c r="K12" s="48"/>
      <c r="L12" s="120"/>
      <c r="M12" s="48"/>
      <c r="N12" s="48"/>
    </row>
    <row r="13" spans="1:14">
      <c r="I13" s="16"/>
      <c r="K13" s="121"/>
      <c r="L13" s="122"/>
      <c r="M13" s="121"/>
      <c r="N13" s="121"/>
    </row>
    <row r="14" spans="1:14">
      <c r="I14" s="16"/>
      <c r="K14" s="48"/>
      <c r="L14" s="53"/>
      <c r="M14" s="52">
        <f>SUM(M10:M13)-SUM(L10:L13)</f>
        <v>-7809486</v>
      </c>
      <c r="N14" s="48"/>
    </row>
    <row r="15" spans="1:14">
      <c r="I15" s="16"/>
      <c r="K15" s="48"/>
      <c r="L15" s="120"/>
      <c r="M15" s="48"/>
      <c r="N15" s="48"/>
    </row>
    <row r="16" spans="1:14">
      <c r="I16" s="16"/>
      <c r="K16" s="48"/>
      <c r="L16" s="120"/>
      <c r="M16" s="48"/>
      <c r="N16" s="48"/>
    </row>
    <row r="17" spans="1:14">
      <c r="I17" s="16"/>
      <c r="K17" s="48"/>
      <c r="L17" s="120"/>
      <c r="M17" s="48"/>
      <c r="N17" s="48"/>
    </row>
    <row r="20" spans="1:14">
      <c r="A20" s="134" t="s">
        <v>62</v>
      </c>
      <c r="B20" s="134"/>
      <c r="C20" s="134"/>
      <c r="D20" s="134"/>
      <c r="E20" s="16"/>
      <c r="F20" s="134" t="s">
        <v>62</v>
      </c>
      <c r="G20" s="134"/>
      <c r="H20" s="134"/>
      <c r="I20" s="134"/>
      <c r="J20" s="16"/>
      <c r="K20" s="134" t="s">
        <v>62</v>
      </c>
      <c r="L20" s="134"/>
      <c r="M20" s="134"/>
      <c r="N20" s="134"/>
    </row>
    <row r="21" spans="1:14">
      <c r="A21" s="133" t="s">
        <v>63</v>
      </c>
      <c r="B21" s="133"/>
      <c r="C21" s="133"/>
      <c r="D21" s="133"/>
      <c r="E21" s="16"/>
      <c r="F21" s="133" t="s">
        <v>64</v>
      </c>
      <c r="G21" s="133"/>
      <c r="H21" s="133"/>
      <c r="I21" s="133"/>
      <c r="J21" s="16"/>
      <c r="K21" s="133" t="s">
        <v>65</v>
      </c>
      <c r="L21" s="133"/>
      <c r="M21" s="133"/>
      <c r="N21" s="133"/>
    </row>
    <row r="22" spans="1:14">
      <c r="A22" s="48" t="s">
        <v>60</v>
      </c>
      <c r="B22" s="93">
        <f>+Input!K20+Input!I9</f>
        <v>7955458</v>
      </c>
      <c r="C22" s="48"/>
      <c r="D22" s="48"/>
      <c r="E22" s="48"/>
      <c r="F22" s="48"/>
      <c r="G22" s="123"/>
      <c r="H22" s="48">
        <f>+Input!S20</f>
        <v>3680128</v>
      </c>
      <c r="I22" s="48" t="s">
        <v>60</v>
      </c>
      <c r="J22" s="48"/>
      <c r="K22" s="48" t="s">
        <v>61</v>
      </c>
      <c r="L22" s="50">
        <f>+'JE''s'!G19</f>
        <v>1475551</v>
      </c>
      <c r="M22" s="48" t="str">
        <f>+'JE''s'!H19</f>
        <v/>
      </c>
      <c r="N22" s="37"/>
    </row>
    <row r="23" spans="1:14">
      <c r="A23" s="48" t="s">
        <v>61</v>
      </c>
      <c r="B23" s="53"/>
      <c r="C23" s="48">
        <f>+Input!I9</f>
        <v>964942</v>
      </c>
      <c r="D23" s="48" t="s">
        <v>61</v>
      </c>
      <c r="E23" s="48"/>
      <c r="F23" s="48" t="s">
        <v>61</v>
      </c>
      <c r="G23" s="53" t="str">
        <f>'JE''s'!G18</f>
        <v/>
      </c>
      <c r="H23" s="47">
        <f>+'JE''s'!H18</f>
        <v>100261</v>
      </c>
      <c r="I23" t="s">
        <v>61</v>
      </c>
      <c r="J23" s="48"/>
      <c r="K23" s="47"/>
      <c r="L23" s="53" t="str">
        <f>+'JE''s'!G20</f>
        <v/>
      </c>
      <c r="M23" s="48"/>
      <c r="N23" s="48"/>
    </row>
    <row r="24" spans="1:14">
      <c r="A24" s="48" t="s">
        <v>61</v>
      </c>
      <c r="B24" s="53">
        <f>+'JE''s'!G14</f>
        <v>267600</v>
      </c>
      <c r="C24" s="37" t="str">
        <f>+'JE''s'!H14</f>
        <v/>
      </c>
      <c r="D24" s="48"/>
      <c r="E24" s="48"/>
      <c r="F24" s="48" t="s">
        <v>61</v>
      </c>
      <c r="G24" s="53" t="str">
        <f>+'JE''s'!G17</f>
        <v/>
      </c>
      <c r="H24" s="48">
        <f>+'JE''s'!H17</f>
        <v>0</v>
      </c>
      <c r="I24" s="48"/>
      <c r="J24" s="48"/>
      <c r="K24" s="48"/>
      <c r="L24" s="120"/>
      <c r="M24" s="48"/>
      <c r="N24" s="48"/>
    </row>
    <row r="25" spans="1:14">
      <c r="A25" s="48"/>
      <c r="B25" s="120" t="str">
        <f>+'JE''s'!G16</f>
        <v/>
      </c>
      <c r="C25" s="48"/>
      <c r="E25" s="48"/>
      <c r="F25" s="48"/>
      <c r="G25" s="120"/>
      <c r="J25" s="48"/>
      <c r="K25" s="48"/>
      <c r="L25" s="120"/>
      <c r="M25" s="48"/>
      <c r="N25" s="48"/>
    </row>
    <row r="26" spans="1:14">
      <c r="A26" s="48"/>
      <c r="B26" s="53" t="str">
        <f>+'JE''s'!G15</f>
        <v/>
      </c>
      <c r="C26" s="48">
        <f>+'JE''s'!H15</f>
        <v>404436</v>
      </c>
      <c r="D26" s="48"/>
      <c r="E26" s="48"/>
      <c r="F26" s="48"/>
      <c r="G26" s="120"/>
      <c r="H26" s="48"/>
      <c r="I26" s="48"/>
      <c r="J26" s="48"/>
      <c r="K26" s="121"/>
      <c r="L26" s="122"/>
      <c r="M26" s="121"/>
      <c r="N26" s="121"/>
    </row>
    <row r="27" spans="1:14">
      <c r="A27" s="48"/>
      <c r="B27" s="53"/>
      <c r="C27" s="48"/>
      <c r="D27" s="48"/>
      <c r="E27" s="48"/>
      <c r="F27" s="121"/>
      <c r="G27" s="122"/>
      <c r="H27" s="121"/>
      <c r="I27" s="121"/>
      <c r="J27" s="48"/>
      <c r="K27" s="48"/>
      <c r="L27" s="120">
        <f>+L22</f>
        <v>1475551</v>
      </c>
      <c r="M27" s="52"/>
      <c r="N27" s="48"/>
    </row>
    <row r="28" spans="1:14">
      <c r="A28" s="121"/>
      <c r="B28" s="122"/>
      <c r="C28" s="124"/>
      <c r="D28" s="121"/>
      <c r="E28" s="48"/>
      <c r="F28" s="54"/>
      <c r="G28" s="53">
        <f>SUM(G22:G27)</f>
        <v>0</v>
      </c>
      <c r="H28" s="54">
        <f>SUM(H22:H27)</f>
        <v>3780389</v>
      </c>
      <c r="I28" s="54"/>
      <c r="J28" s="54"/>
      <c r="K28" s="54"/>
      <c r="L28" s="53"/>
      <c r="M28" s="54"/>
      <c r="N28" s="54"/>
    </row>
    <row r="29" spans="1:14">
      <c r="A29" s="48"/>
      <c r="B29" s="50">
        <f>SUM(B22:B28)</f>
        <v>8223058</v>
      </c>
      <c r="C29" s="51">
        <f>SUM(C22:C28)</f>
        <v>1369378</v>
      </c>
      <c r="D29" s="125"/>
      <c r="E29" s="48"/>
      <c r="F29" s="54"/>
      <c r="G29" s="53"/>
      <c r="H29" s="54"/>
      <c r="I29" s="54"/>
      <c r="J29" s="54"/>
      <c r="K29" s="54"/>
      <c r="L29" s="53"/>
      <c r="M29" s="54"/>
      <c r="N29" s="54"/>
    </row>
    <row r="30" spans="1:14">
      <c r="A30" s="48"/>
      <c r="B30" s="53"/>
      <c r="C30" s="51"/>
      <c r="D30" s="126"/>
      <c r="E30" s="48"/>
      <c r="F30" s="48"/>
      <c r="G30" s="127"/>
      <c r="H30" s="48"/>
      <c r="I30" s="48"/>
      <c r="J30" s="48"/>
      <c r="K30" s="48"/>
      <c r="L30" s="127"/>
      <c r="M30" s="48"/>
      <c r="N30" s="48"/>
    </row>
    <row r="31" spans="1:14">
      <c r="A31" s="48" t="s">
        <v>66</v>
      </c>
      <c r="B31" s="52">
        <f>+B29-C29</f>
        <v>6853680</v>
      </c>
      <c r="C31" s="48"/>
      <c r="D31" s="48"/>
      <c r="E31" s="48"/>
      <c r="F31" s="48"/>
      <c r="G31" s="48" t="s">
        <v>66</v>
      </c>
      <c r="H31" s="52">
        <f>+H28-G28</f>
        <v>3780389</v>
      </c>
      <c r="I31" s="48"/>
      <c r="J31" s="48"/>
      <c r="K31" s="48"/>
      <c r="L31" s="48"/>
      <c r="M31" s="48"/>
      <c r="N31" s="48"/>
    </row>
    <row r="37" spans="1:14">
      <c r="A37" s="133" t="s">
        <v>67</v>
      </c>
      <c r="B37" s="133"/>
      <c r="C37" s="133"/>
      <c r="D37" s="133"/>
      <c r="F37" s="133" t="s">
        <v>68</v>
      </c>
      <c r="G37" s="133"/>
      <c r="H37" s="133"/>
      <c r="I37" s="133"/>
      <c r="K37" s="134"/>
      <c r="L37" s="134"/>
      <c r="M37" s="134"/>
      <c r="N37" s="134"/>
    </row>
    <row r="38" spans="1:14">
      <c r="A38" s="48"/>
      <c r="B38" s="123" t="str">
        <f>+'JE''s'!G20</f>
        <v/>
      </c>
      <c r="C38" s="48">
        <f>+'JE''s'!H20</f>
        <v>964942</v>
      </c>
      <c r="D38" s="48"/>
      <c r="E38" s="48"/>
      <c r="F38" s="48"/>
      <c r="G38" s="50">
        <f>+'JE''s'!H20</f>
        <v>964942</v>
      </c>
      <c r="H38" s="48"/>
      <c r="I38" s="48"/>
      <c r="J38" s="48"/>
      <c r="K38" s="126"/>
      <c r="L38" s="51"/>
      <c r="M38" s="126"/>
      <c r="N38" s="126"/>
    </row>
    <row r="39" spans="1:14">
      <c r="A39" s="48"/>
      <c r="B39" s="120"/>
      <c r="C39" s="48"/>
      <c r="D39" s="48"/>
      <c r="E39" s="48"/>
      <c r="F39" s="48"/>
      <c r="G39" s="120"/>
      <c r="H39" s="48"/>
      <c r="I39" s="48"/>
      <c r="J39" s="48"/>
      <c r="K39" s="126"/>
      <c r="L39" s="127"/>
      <c r="M39" s="126"/>
      <c r="N39" s="126"/>
    </row>
    <row r="40" spans="1:14">
      <c r="A40" s="48"/>
      <c r="B40" s="120"/>
      <c r="C40" s="48"/>
      <c r="D40" s="48"/>
      <c r="E40" s="48"/>
      <c r="F40" s="48"/>
      <c r="G40" s="120"/>
      <c r="H40" s="48"/>
      <c r="I40" s="48"/>
      <c r="J40" s="48"/>
      <c r="K40" s="126"/>
      <c r="L40" s="51"/>
      <c r="M40" s="126"/>
      <c r="N40" s="126"/>
    </row>
    <row r="41" spans="1:14">
      <c r="A41" s="48"/>
      <c r="B41" s="120"/>
      <c r="C41" s="48"/>
      <c r="D41" s="48"/>
      <c r="E41" s="48"/>
      <c r="F41" s="121"/>
      <c r="G41" s="122"/>
      <c r="H41" s="121"/>
      <c r="I41" s="121"/>
      <c r="J41" s="48"/>
      <c r="K41" s="126"/>
      <c r="L41" s="127"/>
      <c r="M41" s="126"/>
      <c r="N41" s="126"/>
    </row>
    <row r="42" spans="1:14">
      <c r="A42" s="48"/>
      <c r="B42" s="120"/>
      <c r="C42" s="48"/>
      <c r="D42" s="48"/>
      <c r="E42" s="48"/>
      <c r="F42" s="48"/>
      <c r="G42" s="120">
        <f>SUM(G38:G41)</f>
        <v>964942</v>
      </c>
      <c r="H42" s="52">
        <f>SUM(H38:H41)</f>
        <v>0</v>
      </c>
      <c r="I42" s="48"/>
      <c r="J42" s="48"/>
      <c r="K42" s="126"/>
      <c r="L42" s="127"/>
      <c r="M42" s="126"/>
      <c r="N42" s="126"/>
    </row>
    <row r="43" spans="1:14">
      <c r="A43" s="48"/>
      <c r="B43" s="120"/>
      <c r="C43" s="48"/>
      <c r="D43" s="48"/>
      <c r="E43" s="48"/>
      <c r="F43" s="48"/>
      <c r="G43" s="120"/>
      <c r="H43" s="48"/>
      <c r="I43" s="48"/>
      <c r="J43" s="48"/>
      <c r="K43" s="126"/>
      <c r="L43" s="127"/>
      <c r="M43" s="126"/>
      <c r="N43" s="126"/>
    </row>
    <row r="44" spans="1:14">
      <c r="A44" s="48"/>
      <c r="B44" s="120"/>
      <c r="C44" s="48"/>
      <c r="D44" s="48"/>
      <c r="E44" s="48"/>
      <c r="F44" s="48"/>
      <c r="G44" s="120"/>
      <c r="H44" s="48"/>
      <c r="I44" s="48"/>
      <c r="J44" s="48"/>
      <c r="K44" s="126"/>
      <c r="L44" s="127"/>
      <c r="M44" s="126"/>
      <c r="N44" s="126"/>
    </row>
    <row r="45" spans="1:14">
      <c r="A45" s="48"/>
      <c r="B45" s="120"/>
      <c r="C45" s="48"/>
      <c r="D45" s="48"/>
      <c r="E45" s="48"/>
      <c r="F45" s="48"/>
      <c r="G45" s="120"/>
      <c r="H45" s="48"/>
      <c r="I45" s="48"/>
      <c r="J45" s="48"/>
      <c r="K45" s="126"/>
      <c r="L45" s="127"/>
      <c r="M45" s="126"/>
      <c r="N45" s="126"/>
    </row>
    <row r="46" spans="1:14">
      <c r="A46" s="48"/>
      <c r="B46" s="127"/>
      <c r="C46" s="48"/>
      <c r="D46" s="48"/>
      <c r="E46" s="48"/>
      <c r="F46" s="48"/>
      <c r="G46" s="127"/>
      <c r="H46" s="48"/>
      <c r="I46" s="48"/>
      <c r="J46" s="48"/>
      <c r="K46" s="48"/>
      <c r="L46" s="127"/>
      <c r="M46" s="48"/>
      <c r="N46" s="48"/>
    </row>
    <row r="47" spans="1:14">
      <c r="A47" s="48"/>
      <c r="B47" s="127"/>
      <c r="C47" s="48"/>
      <c r="D47" s="48"/>
      <c r="E47" s="48"/>
      <c r="F47" s="48"/>
      <c r="G47" s="127"/>
      <c r="H47" s="48"/>
      <c r="I47" s="48"/>
      <c r="J47" s="48"/>
      <c r="K47" s="48"/>
      <c r="L47" s="127"/>
      <c r="M47" s="48"/>
      <c r="N47" s="48"/>
    </row>
    <row r="48" spans="1:14">
      <c r="A48" s="48"/>
      <c r="B48" s="127"/>
      <c r="C48" s="48"/>
      <c r="D48" s="48"/>
      <c r="E48" s="48"/>
      <c r="F48" s="48"/>
      <c r="G48" s="127"/>
      <c r="H48" s="48"/>
      <c r="I48" s="48"/>
      <c r="J48" s="48"/>
      <c r="K48" s="48"/>
      <c r="L48" s="127"/>
      <c r="M48" s="48"/>
      <c r="N48" s="48"/>
    </row>
    <row r="49" spans="1:14">
      <c r="A49" s="48"/>
      <c r="B49" s="127"/>
      <c r="C49" s="48"/>
      <c r="D49" s="48"/>
      <c r="E49" s="48"/>
      <c r="F49" s="48"/>
      <c r="G49" s="127"/>
      <c r="H49" s="48"/>
      <c r="I49" s="48"/>
      <c r="J49" s="48"/>
      <c r="K49" s="48"/>
      <c r="L49" s="127"/>
      <c r="M49" s="48"/>
      <c r="N49" s="48"/>
    </row>
    <row r="50" spans="1:14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126"/>
      <c r="L50" s="126"/>
      <c r="M50" s="126"/>
      <c r="N50" s="126"/>
    </row>
    <row r="51" spans="1:14">
      <c r="A51" s="55" t="s">
        <v>69</v>
      </c>
    </row>
    <row r="53" spans="1:14">
      <c r="A53" t="s">
        <v>70</v>
      </c>
    </row>
    <row r="55" spans="1:14">
      <c r="A55" t="s">
        <v>71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3.42578125" customWidth="1"/>
    <col min="12" max="12" width="19.140625" customWidth="1"/>
    <col min="13" max="13" width="3" customWidth="1"/>
    <col min="14" max="14" width="17" customWidth="1"/>
    <col min="16" max="16" width="13.140625" bestFit="1" customWidth="1"/>
    <col min="19" max="19" width="13.140625" bestFit="1" customWidth="1"/>
    <col min="20" max="20" width="11" bestFit="1" customWidth="1"/>
  </cols>
  <sheetData>
    <row r="1" spans="1:19">
      <c r="A1" t="s">
        <v>72</v>
      </c>
      <c r="D1" s="58">
        <f>+L12+L31+L49</f>
        <v>-85450008.160018548</v>
      </c>
      <c r="F1" s="49" t="s">
        <v>73</v>
      </c>
    </row>
    <row r="2" spans="1:19">
      <c r="D2" s="13"/>
      <c r="F2" s="49" t="s">
        <v>74</v>
      </c>
    </row>
    <row r="3" spans="1:19">
      <c r="D3" s="13"/>
    </row>
    <row r="4" spans="1:19">
      <c r="D4" s="13"/>
    </row>
    <row r="5" spans="1:19" ht="19.5">
      <c r="A5" s="59" t="s">
        <v>75</v>
      </c>
    </row>
    <row r="6" spans="1:19">
      <c r="B6">
        <v>5</v>
      </c>
      <c r="D6">
        <v>5</v>
      </c>
      <c r="F6">
        <v>5</v>
      </c>
      <c r="H6">
        <v>5</v>
      </c>
      <c r="J6">
        <v>5</v>
      </c>
    </row>
    <row r="7" spans="1:19" ht="30">
      <c r="B7" s="60">
        <v>2014</v>
      </c>
      <c r="C7" s="61" t="s">
        <v>76</v>
      </c>
      <c r="D7" s="60">
        <v>2015</v>
      </c>
      <c r="E7" s="61" t="s">
        <v>76</v>
      </c>
      <c r="F7" s="60">
        <v>2016</v>
      </c>
      <c r="G7" s="61" t="s">
        <v>76</v>
      </c>
      <c r="H7" s="60">
        <v>2017</v>
      </c>
      <c r="I7" s="61" t="s">
        <v>76</v>
      </c>
      <c r="J7" s="5">
        <v>2018</v>
      </c>
      <c r="K7" s="5"/>
      <c r="L7" s="88" t="s">
        <v>77</v>
      </c>
      <c r="M7" s="84"/>
      <c r="N7" s="89" t="s">
        <v>78</v>
      </c>
    </row>
    <row r="8" spans="1:19">
      <c r="B8" s="62">
        <f>-1152530559</f>
        <v>-1152530559</v>
      </c>
      <c r="C8" s="5"/>
      <c r="D8" s="62">
        <f>605790957</f>
        <v>605790957</v>
      </c>
      <c r="F8" s="62">
        <v>778977807</v>
      </c>
      <c r="H8" s="62">
        <v>-716714605</v>
      </c>
      <c r="J8" s="62">
        <v>0</v>
      </c>
      <c r="K8" s="63"/>
      <c r="L8" s="5"/>
    </row>
    <row r="9" spans="1:19">
      <c r="A9">
        <v>2014</v>
      </c>
      <c r="B9" s="64">
        <f>$B$8/$B$6</f>
        <v>-230506111.80000001</v>
      </c>
      <c r="C9" s="63">
        <f>+B8-B9</f>
        <v>-922024447.20000005</v>
      </c>
      <c r="L9" s="13">
        <f>+B9+D9</f>
        <v>-230506111.80000001</v>
      </c>
    </row>
    <row r="10" spans="1:19">
      <c r="A10">
        <v>2015</v>
      </c>
      <c r="B10" s="64">
        <f t="shared" ref="B10:B13" si="0">$B$8/$B$6</f>
        <v>-230506111.80000001</v>
      </c>
      <c r="C10" s="65">
        <f>+C9-B10</f>
        <v>-691518335.4000001</v>
      </c>
      <c r="D10" s="64">
        <f>$D$8/$D$6</f>
        <v>121158191.40000001</v>
      </c>
      <c r="E10" s="56">
        <f>+D8-D10</f>
        <v>484632765.60000002</v>
      </c>
      <c r="F10" s="66"/>
      <c r="H10" s="64"/>
      <c r="J10" s="64"/>
      <c r="K10" s="63"/>
      <c r="L10" s="13">
        <f t="shared" ref="L10:L17" si="1">+B10+D10</f>
        <v>-109347920.40000001</v>
      </c>
      <c r="N10" s="13">
        <f>+C10+E10</f>
        <v>-206885569.80000007</v>
      </c>
      <c r="P10" s="13"/>
      <c r="S10" s="13"/>
    </row>
    <row r="11" spans="1:19">
      <c r="A11">
        <v>2016</v>
      </c>
      <c r="B11" s="64">
        <f t="shared" si="0"/>
        <v>-230506111.80000001</v>
      </c>
      <c r="C11" s="65">
        <f>+C10-B11</f>
        <v>-461012223.60000008</v>
      </c>
      <c r="D11" s="94">
        <f>$D$8/$D$6</f>
        <v>121158191.40000001</v>
      </c>
      <c r="E11" s="56">
        <f>+E10-D11</f>
        <v>363474574.20000005</v>
      </c>
      <c r="F11" s="95">
        <f>$F$8/$F$6</f>
        <v>155795561.40000001</v>
      </c>
      <c r="G11" s="56">
        <f>+F8-F11</f>
        <v>623182245.60000002</v>
      </c>
      <c r="H11" s="64"/>
      <c r="J11" s="64"/>
      <c r="K11" s="63"/>
      <c r="L11" s="13">
        <f>+B11+D11+F11</f>
        <v>46447641</v>
      </c>
      <c r="N11" s="13">
        <f>+C11+E11+G11</f>
        <v>525644596.19999999</v>
      </c>
    </row>
    <row r="12" spans="1:19">
      <c r="A12">
        <v>2017</v>
      </c>
      <c r="B12" s="64">
        <f t="shared" si="0"/>
        <v>-230506111.80000001</v>
      </c>
      <c r="C12" s="67">
        <f t="shared" ref="C12:C13" si="2">+C11-B12</f>
        <v>-230506111.80000007</v>
      </c>
      <c r="D12" s="64">
        <f t="shared" ref="D12:D14" si="3">$D$8/$D$6</f>
        <v>121158191.40000001</v>
      </c>
      <c r="E12" s="68">
        <f t="shared" ref="E12:E14" si="4">+E11-D12</f>
        <v>242316382.80000004</v>
      </c>
      <c r="F12" s="85">
        <f t="shared" ref="F12:F15" si="5">$F$8/$F$6</f>
        <v>155795561.40000001</v>
      </c>
      <c r="G12" s="68">
        <f>+G11-F12</f>
        <v>467386684.20000005</v>
      </c>
      <c r="H12" s="85">
        <f>$H$8/$H$6</f>
        <v>-143342921</v>
      </c>
      <c r="I12" s="68">
        <f>+H8-H12</f>
        <v>-573371684</v>
      </c>
      <c r="J12" s="64"/>
      <c r="K12" s="63"/>
      <c r="L12" s="70">
        <f>+B12+D12+F12+H12</f>
        <v>-96895280</v>
      </c>
      <c r="N12" s="71">
        <f>+C12+E12+G12+I12</f>
        <v>-94174728.799999952</v>
      </c>
      <c r="S12" s="13"/>
    </row>
    <row r="13" spans="1:19">
      <c r="A13">
        <v>2018</v>
      </c>
      <c r="B13" s="64">
        <f t="shared" si="0"/>
        <v>-230506111.80000001</v>
      </c>
      <c r="C13" s="63">
        <f t="shared" si="2"/>
        <v>0</v>
      </c>
      <c r="D13" s="64">
        <f t="shared" si="3"/>
        <v>121158191.40000001</v>
      </c>
      <c r="E13" s="13">
        <f t="shared" si="4"/>
        <v>121158191.40000004</v>
      </c>
      <c r="F13" s="85">
        <f t="shared" si="5"/>
        <v>155795561.40000001</v>
      </c>
      <c r="G13" s="13">
        <f t="shared" ref="G13:G15" si="6">+G12-F13</f>
        <v>311591122.80000007</v>
      </c>
      <c r="H13" s="85">
        <f t="shared" ref="H13:H16" si="7">$H$8/$H$6</f>
        <v>-143342921</v>
      </c>
      <c r="I13" s="13">
        <f>+I12-H13</f>
        <v>-430028763</v>
      </c>
      <c r="J13" s="69">
        <f>$J$8/$J$6</f>
        <v>0</v>
      </c>
      <c r="K13" s="63"/>
      <c r="L13" s="13">
        <f>+B13+D13+F13+H13+J13</f>
        <v>-96895280</v>
      </c>
      <c r="N13" s="13">
        <f t="shared" ref="N13:N17" si="8">+C13+E13+G13</f>
        <v>432749314.20000011</v>
      </c>
    </row>
    <row r="14" spans="1:19">
      <c r="A14">
        <v>2019</v>
      </c>
      <c r="D14" s="64">
        <f t="shared" si="3"/>
        <v>121158191.40000001</v>
      </c>
      <c r="E14" s="13">
        <f t="shared" si="4"/>
        <v>0</v>
      </c>
      <c r="F14" s="63">
        <f t="shared" si="5"/>
        <v>155795561.40000001</v>
      </c>
      <c r="G14" s="13">
        <f t="shared" si="6"/>
        <v>155795561.40000007</v>
      </c>
      <c r="H14" s="85">
        <f t="shared" si="7"/>
        <v>-143342921</v>
      </c>
      <c r="I14" s="13">
        <f t="shared" ref="I14:I16" si="9">+I13-H14</f>
        <v>-286685842</v>
      </c>
      <c r="J14" s="69">
        <f t="shared" ref="J14:J17" si="10">$J$8/$J$6</f>
        <v>0</v>
      </c>
      <c r="K14" s="63"/>
      <c r="L14" s="13">
        <f>+B14+D14+F14+H14</f>
        <v>133610831.80000001</v>
      </c>
      <c r="N14" s="13">
        <f t="shared" si="8"/>
        <v>155795561.40000007</v>
      </c>
    </row>
    <row r="15" spans="1:19">
      <c r="A15">
        <v>2020</v>
      </c>
      <c r="D15" s="63"/>
      <c r="F15" s="63">
        <f t="shared" si="5"/>
        <v>155795561.40000001</v>
      </c>
      <c r="G15" s="13">
        <f t="shared" si="6"/>
        <v>0</v>
      </c>
      <c r="H15" s="85">
        <f t="shared" si="7"/>
        <v>-143342921</v>
      </c>
      <c r="I15" s="13">
        <f t="shared" si="9"/>
        <v>-143342921</v>
      </c>
      <c r="J15" s="69">
        <f t="shared" si="10"/>
        <v>0</v>
      </c>
      <c r="K15" s="63"/>
      <c r="L15" s="13">
        <f>+B15+D15+F15+H15</f>
        <v>12452640.400000006</v>
      </c>
      <c r="N15" s="13">
        <f t="shared" si="8"/>
        <v>0</v>
      </c>
    </row>
    <row r="16" spans="1:19">
      <c r="A16">
        <v>2021</v>
      </c>
      <c r="D16" s="72"/>
      <c r="F16" s="66"/>
      <c r="H16" s="85">
        <f t="shared" si="7"/>
        <v>-143342921</v>
      </c>
      <c r="I16" s="13">
        <f t="shared" si="9"/>
        <v>0</v>
      </c>
      <c r="J16" s="69">
        <f t="shared" si="10"/>
        <v>0</v>
      </c>
      <c r="K16" s="63"/>
      <c r="L16" s="13">
        <f t="shared" si="1"/>
        <v>0</v>
      </c>
      <c r="N16" s="13">
        <f t="shared" si="8"/>
        <v>0</v>
      </c>
    </row>
    <row r="17" spans="1:19">
      <c r="A17">
        <v>2022</v>
      </c>
      <c r="B17" s="3"/>
      <c r="D17" s="73"/>
      <c r="F17" s="74"/>
      <c r="H17" s="73"/>
      <c r="J17" s="75">
        <f t="shared" si="10"/>
        <v>0</v>
      </c>
      <c r="K17" s="63"/>
      <c r="L17" s="76">
        <f t="shared" si="1"/>
        <v>0</v>
      </c>
      <c r="N17" s="13">
        <f t="shared" si="8"/>
        <v>0</v>
      </c>
    </row>
    <row r="18" spans="1:19">
      <c r="D18" s="72"/>
      <c r="F18" s="77"/>
      <c r="H18" s="72"/>
      <c r="J18" s="63"/>
      <c r="K18" s="63"/>
      <c r="L18" s="13"/>
    </row>
    <row r="19" spans="1:19">
      <c r="B19" s="64">
        <f>SUM(B9:B17)</f>
        <v>-1152530559</v>
      </c>
      <c r="C19" s="63"/>
      <c r="D19" s="64">
        <f>SUM(D9:D17)</f>
        <v>605790957</v>
      </c>
      <c r="F19" s="64">
        <f>SUM(F9:F17)</f>
        <v>778977807</v>
      </c>
      <c r="H19" s="64">
        <f>SUM(H9:H17)</f>
        <v>-716714605</v>
      </c>
      <c r="J19" s="64">
        <f>SUM(J9:J17)</f>
        <v>0</v>
      </c>
      <c r="K19" s="63"/>
      <c r="L19" s="13">
        <f>SUM(L9:L17)</f>
        <v>-341133479</v>
      </c>
    </row>
    <row r="21" spans="1:19">
      <c r="D21" s="13">
        <f>+B19+D19</f>
        <v>-546739602</v>
      </c>
    </row>
    <row r="22" spans="1:19">
      <c r="D22" s="13"/>
    </row>
    <row r="23" spans="1:19" ht="19.5">
      <c r="A23" s="59" t="s">
        <v>79</v>
      </c>
    </row>
    <row r="24" spans="1:19" ht="19.5">
      <c r="A24" s="59"/>
    </row>
    <row r="25" spans="1:19">
      <c r="B25">
        <v>5.6</v>
      </c>
      <c r="D25">
        <v>5.5</v>
      </c>
      <c r="F25">
        <v>4.9000000000000004</v>
      </c>
      <c r="H25">
        <v>4.9000000000000004</v>
      </c>
      <c r="J25" s="44">
        <v>5.5</v>
      </c>
      <c r="L25" s="45" t="s">
        <v>80</v>
      </c>
    </row>
    <row r="26" spans="1:19" ht="30">
      <c r="B26" s="60">
        <v>2014</v>
      </c>
      <c r="C26" s="5"/>
      <c r="D26" s="60">
        <v>2015</v>
      </c>
      <c r="F26" s="60">
        <v>2016</v>
      </c>
      <c r="H26" s="60">
        <v>2017</v>
      </c>
      <c r="I26" s="5"/>
      <c r="J26" s="5">
        <v>2018</v>
      </c>
      <c r="K26" s="5"/>
      <c r="L26" s="87" t="s">
        <v>77</v>
      </c>
    </row>
    <row r="27" spans="1:19">
      <c r="B27" s="78">
        <f>-111248209</f>
        <v>-111248209</v>
      </c>
      <c r="C27" s="5"/>
      <c r="D27" s="78">
        <f>-105531304</f>
        <v>-105531304</v>
      </c>
      <c r="F27" s="62">
        <v>-104512779</v>
      </c>
      <c r="H27" s="62">
        <v>273580592</v>
      </c>
      <c r="J27" s="62">
        <v>0</v>
      </c>
      <c r="K27" s="63"/>
      <c r="L27" s="5"/>
    </row>
    <row r="28" spans="1:19">
      <c r="A28">
        <v>2014</v>
      </c>
      <c r="B28" s="64">
        <f>$B$27/$B$25</f>
        <v>-19865751.607142858</v>
      </c>
      <c r="C28" s="63">
        <f>+B27-B28</f>
        <v>-91382457.392857134</v>
      </c>
      <c r="D28" s="64"/>
      <c r="L28" s="13">
        <f>+B28+D28</f>
        <v>-19865751.607142858</v>
      </c>
    </row>
    <row r="29" spans="1:19">
      <c r="A29">
        <v>2015</v>
      </c>
      <c r="B29" s="64">
        <f t="shared" ref="B29:B32" si="11">$B$27/$B$25</f>
        <v>-19865751.607142858</v>
      </c>
      <c r="C29" s="65">
        <f>+C28-B29</f>
        <v>-71516705.785714269</v>
      </c>
      <c r="D29" s="64">
        <f t="shared" ref="D29:D33" si="12">$D$27/$D$25</f>
        <v>-19187509.818181816</v>
      </c>
      <c r="E29" s="56">
        <f>+D27-D29</f>
        <v>-86343794.181818187</v>
      </c>
      <c r="F29" s="66"/>
      <c r="H29" s="64"/>
      <c r="J29" s="64"/>
      <c r="K29" s="63"/>
      <c r="L29" s="13">
        <f t="shared" ref="L29:L37" si="13">+B29+D29</f>
        <v>-39053261.425324678</v>
      </c>
      <c r="N29" s="13">
        <f>+C29+E29</f>
        <v>-157860499.96753246</v>
      </c>
      <c r="S29" s="13"/>
    </row>
    <row r="30" spans="1:19">
      <c r="A30">
        <v>2016</v>
      </c>
      <c r="B30" s="64">
        <f t="shared" si="11"/>
        <v>-19865751.607142858</v>
      </c>
      <c r="C30" s="65">
        <f t="shared" ref="C30:C33" si="14">+C29-B30</f>
        <v>-51650954.17857141</v>
      </c>
      <c r="D30" s="94">
        <f t="shared" si="12"/>
        <v>-19187509.818181816</v>
      </c>
      <c r="E30" s="56">
        <f>+E29-D30</f>
        <v>-67156284.363636374</v>
      </c>
      <c r="F30" s="95">
        <f>$F$27/$F$25</f>
        <v>-21329138.571428571</v>
      </c>
      <c r="G30" s="56">
        <f>+F27-F30</f>
        <v>-83183640.428571433</v>
      </c>
      <c r="H30" s="64"/>
      <c r="J30" s="64"/>
      <c r="K30" s="63"/>
      <c r="L30" s="13">
        <f>+B30+D30+F30</f>
        <v>-60382399.996753246</v>
      </c>
      <c r="N30" s="13">
        <f>+C30+E30+G30</f>
        <v>-201990878.97077921</v>
      </c>
    </row>
    <row r="31" spans="1:19">
      <c r="A31">
        <v>2017</v>
      </c>
      <c r="B31" s="64">
        <f t="shared" si="11"/>
        <v>-19865751.607142858</v>
      </c>
      <c r="C31" s="67">
        <f t="shared" si="14"/>
        <v>-31785202.571428552</v>
      </c>
      <c r="D31" s="64">
        <f t="shared" si="12"/>
        <v>-19187509.818181816</v>
      </c>
      <c r="E31" s="68">
        <f t="shared" ref="E31:E34" si="15">+E30-D31</f>
        <v>-47968774.545454562</v>
      </c>
      <c r="F31" s="85">
        <f>$F$27/$F$25</f>
        <v>-21329138.571428571</v>
      </c>
      <c r="G31" s="68">
        <f>+G30-F31</f>
        <v>-61854501.857142866</v>
      </c>
      <c r="H31" s="86">
        <f>$H$27/$H$25</f>
        <v>55832773.877551019</v>
      </c>
      <c r="I31" s="68">
        <f>+H27-H31</f>
        <v>217747818.12244898</v>
      </c>
      <c r="J31" s="64"/>
      <c r="K31" s="63"/>
      <c r="L31" s="70">
        <f>+B31+D31+F31+H31</f>
        <v>-4549626.1192022264</v>
      </c>
      <c r="N31" s="71">
        <f>+C31+E31+G31+I31</f>
        <v>76139339.148423016</v>
      </c>
    </row>
    <row r="32" spans="1:19">
      <c r="A32">
        <v>2018</v>
      </c>
      <c r="B32" s="64">
        <f t="shared" si="11"/>
        <v>-19865751.607142858</v>
      </c>
      <c r="C32" s="63">
        <f t="shared" si="14"/>
        <v>-11919450.964285694</v>
      </c>
      <c r="D32" s="64">
        <f t="shared" si="12"/>
        <v>-19187509.818181816</v>
      </c>
      <c r="E32" s="13">
        <f t="shared" si="15"/>
        <v>-28781264.727272745</v>
      </c>
      <c r="F32" s="85">
        <f>$F$27/$F$25</f>
        <v>-21329138.571428571</v>
      </c>
      <c r="G32" s="13">
        <f t="shared" ref="G32:G34" si="16">+G31-F32</f>
        <v>-40525363.285714298</v>
      </c>
      <c r="H32" s="86">
        <f t="shared" ref="H32:H34" si="17">$H$27/$H$25</f>
        <v>55832773.877551019</v>
      </c>
      <c r="I32" s="13">
        <f>+I31-H32</f>
        <v>161915044.24489796</v>
      </c>
      <c r="J32" s="79">
        <f>$J$27/$J$25</f>
        <v>0</v>
      </c>
      <c r="K32" s="80"/>
      <c r="L32" s="13">
        <f t="shared" ref="L32:L34" si="18">+B32+D32+F32</f>
        <v>-60382399.996753246</v>
      </c>
      <c r="N32" s="13">
        <f t="shared" ref="N32:N37" si="19">+C32+E32+G32</f>
        <v>-81226078.977272734</v>
      </c>
    </row>
    <row r="33" spans="1:14">
      <c r="A33">
        <v>2019</v>
      </c>
      <c r="B33" s="72">
        <f>B27-SUM(B28:B32)</f>
        <v>-11919450.964285702</v>
      </c>
      <c r="C33" s="63">
        <f t="shared" si="14"/>
        <v>0</v>
      </c>
      <c r="D33" s="64">
        <f t="shared" si="12"/>
        <v>-19187509.818181816</v>
      </c>
      <c r="E33" s="13">
        <f t="shared" si="15"/>
        <v>-9593754.9090909287</v>
      </c>
      <c r="F33" s="85">
        <f>$F$27/$F$25</f>
        <v>-21329138.571428571</v>
      </c>
      <c r="G33" s="13">
        <f t="shared" si="16"/>
        <v>-19196224.714285728</v>
      </c>
      <c r="H33" s="86">
        <f t="shared" si="17"/>
        <v>55832773.877551019</v>
      </c>
      <c r="I33" s="13">
        <f t="shared" ref="I33:I35" si="20">+I32-H33</f>
        <v>106082270.36734694</v>
      </c>
      <c r="J33" s="79">
        <f t="shared" ref="J33:J36" si="21">$J$27/$J$25</f>
        <v>0</v>
      </c>
      <c r="K33" s="80"/>
      <c r="L33" s="13">
        <f t="shared" si="18"/>
        <v>-52436099.353896089</v>
      </c>
      <c r="N33" s="13">
        <f t="shared" si="19"/>
        <v>-28789979.623376656</v>
      </c>
    </row>
    <row r="34" spans="1:14">
      <c r="A34">
        <v>2020</v>
      </c>
      <c r="B34" s="72"/>
      <c r="C34" s="63"/>
      <c r="D34" s="72">
        <f>D27-SUM(D29:D33)</f>
        <v>-9593754.9090909213</v>
      </c>
      <c r="E34" s="13">
        <f t="shared" si="15"/>
        <v>0</v>
      </c>
      <c r="F34" s="85">
        <f>+F27-SUM(F30:F33)</f>
        <v>-19196224.714285716</v>
      </c>
      <c r="G34" s="13">
        <f t="shared" si="16"/>
        <v>0</v>
      </c>
      <c r="H34" s="86">
        <f t="shared" si="17"/>
        <v>55832773.877551019</v>
      </c>
      <c r="I34" s="13">
        <f t="shared" si="20"/>
        <v>50249496.489795923</v>
      </c>
      <c r="J34" s="79">
        <f t="shared" si="21"/>
        <v>0</v>
      </c>
      <c r="K34" s="80"/>
      <c r="L34" s="13">
        <f t="shared" si="18"/>
        <v>-28789979.623376638</v>
      </c>
      <c r="N34" s="13">
        <f t="shared" si="19"/>
        <v>0</v>
      </c>
    </row>
    <row r="35" spans="1:14">
      <c r="A35">
        <v>2021</v>
      </c>
      <c r="F35" s="63"/>
      <c r="H35" s="86">
        <f>+H27-SUM(H31:H34)</f>
        <v>50249496.489795923</v>
      </c>
      <c r="I35" s="13">
        <f t="shared" si="20"/>
        <v>0</v>
      </c>
      <c r="J35" s="79">
        <f t="shared" si="21"/>
        <v>0</v>
      </c>
      <c r="K35" s="80"/>
      <c r="L35" s="13">
        <f t="shared" si="13"/>
        <v>0</v>
      </c>
      <c r="N35" s="13">
        <f t="shared" si="19"/>
        <v>0</v>
      </c>
    </row>
    <row r="36" spans="1:14">
      <c r="A36">
        <v>2022</v>
      </c>
      <c r="B36" s="64"/>
      <c r="C36" s="63"/>
      <c r="D36" s="64"/>
      <c r="F36" s="66"/>
      <c r="H36" s="63"/>
      <c r="J36" s="79">
        <f t="shared" si="21"/>
        <v>0</v>
      </c>
      <c r="K36" s="80"/>
      <c r="L36" s="13">
        <f t="shared" si="13"/>
        <v>0</v>
      </c>
      <c r="N36" s="13">
        <f t="shared" si="19"/>
        <v>0</v>
      </c>
    </row>
    <row r="37" spans="1:14">
      <c r="A37">
        <v>2023</v>
      </c>
      <c r="B37" s="3"/>
      <c r="D37" s="76"/>
      <c r="F37" s="74"/>
      <c r="H37" s="73"/>
      <c r="J37" s="75">
        <f>J27-SUM(J32:J36)</f>
        <v>0</v>
      </c>
      <c r="K37" s="63"/>
      <c r="L37" s="13">
        <f t="shared" si="13"/>
        <v>0</v>
      </c>
      <c r="N37" s="13">
        <f t="shared" si="19"/>
        <v>0</v>
      </c>
    </row>
    <row r="38" spans="1:14">
      <c r="B38" s="64">
        <f>SUM(B28:B33)</f>
        <v>-111248209</v>
      </c>
      <c r="C38" s="63"/>
      <c r="D38" s="64">
        <f>SUM(D28:D34)</f>
        <v>-105531304</v>
      </c>
      <c r="F38" s="64">
        <f>SUM(F28:F37)</f>
        <v>-104512779</v>
      </c>
      <c r="H38" s="64">
        <f>SUM(H28:H37)</f>
        <v>273580592</v>
      </c>
      <c r="J38" s="64">
        <f>SUM(J28:J37)</f>
        <v>0</v>
      </c>
      <c r="K38" s="63"/>
      <c r="L38" s="13">
        <f>SUM(L28:L37)</f>
        <v>-265459518.12244898</v>
      </c>
    </row>
    <row r="39" spans="1:14">
      <c r="B39" s="64"/>
      <c r="C39" s="63"/>
      <c r="D39" s="64"/>
      <c r="F39" s="64"/>
      <c r="H39" s="64"/>
      <c r="J39" s="64"/>
      <c r="K39" s="63"/>
      <c r="L39" s="13"/>
    </row>
    <row r="40" spans="1:14">
      <c r="B40" s="64"/>
      <c r="C40" s="63"/>
      <c r="D40" s="64">
        <f>+B38+D38+F38</f>
        <v>-321292292</v>
      </c>
      <c r="F40" s="64"/>
      <c r="H40" s="64"/>
      <c r="J40" s="64"/>
      <c r="K40" s="63"/>
    </row>
    <row r="41" spans="1:14">
      <c r="B41" s="64"/>
      <c r="C41" s="63"/>
      <c r="D41" s="64"/>
      <c r="F41" s="64"/>
      <c r="H41" s="64"/>
      <c r="J41" s="64"/>
      <c r="K41" s="63"/>
    </row>
    <row r="42" spans="1:14" ht="19.5">
      <c r="A42" s="59" t="s">
        <v>81</v>
      </c>
    </row>
    <row r="43" spans="1:14">
      <c r="B43">
        <v>5.6</v>
      </c>
      <c r="D43">
        <v>5.5</v>
      </c>
      <c r="F43">
        <v>4.9000000000000004</v>
      </c>
      <c r="J43" s="44">
        <v>5.5</v>
      </c>
      <c r="L43" s="45" t="s">
        <v>80</v>
      </c>
    </row>
    <row r="44" spans="1:14" ht="30">
      <c r="B44" s="60">
        <v>2014</v>
      </c>
      <c r="C44" s="5"/>
      <c r="D44" s="60">
        <v>2015</v>
      </c>
      <c r="F44" s="60">
        <v>2016</v>
      </c>
      <c r="H44" s="60">
        <v>2017</v>
      </c>
      <c r="I44" s="5"/>
      <c r="J44" s="5">
        <v>2018</v>
      </c>
      <c r="K44" s="5"/>
      <c r="L44" s="87" t="s">
        <v>77</v>
      </c>
    </row>
    <row r="45" spans="1:14">
      <c r="B45" s="81">
        <f>74600000</f>
        <v>74600000</v>
      </c>
      <c r="C45" s="4"/>
      <c r="D45" s="82">
        <v>0</v>
      </c>
      <c r="F45" s="62">
        <v>13100000</v>
      </c>
      <c r="H45" s="62">
        <v>0</v>
      </c>
      <c r="J45" s="62">
        <v>0</v>
      </c>
      <c r="K45" s="63"/>
      <c r="L45" s="5"/>
    </row>
    <row r="46" spans="1:14">
      <c r="A46">
        <v>2014</v>
      </c>
      <c r="B46" s="64">
        <f>$B$45/$B$43</f>
        <v>13321428.571428573</v>
      </c>
      <c r="C46" s="63">
        <f>+B45-B46</f>
        <v>61278571.428571425</v>
      </c>
      <c r="D46">
        <v>0</v>
      </c>
      <c r="L46" s="13">
        <f t="shared" ref="L46:L55" si="22">+B46+D46</f>
        <v>13321428.571428573</v>
      </c>
    </row>
    <row r="47" spans="1:14">
      <c r="A47">
        <v>2015</v>
      </c>
      <c r="B47" s="64">
        <f t="shared" ref="B47:B50" si="23">$B$45/$B$43</f>
        <v>13321428.571428573</v>
      </c>
      <c r="C47" s="65">
        <f>+C46-B47</f>
        <v>47957142.857142851</v>
      </c>
      <c r="D47">
        <v>0</v>
      </c>
      <c r="F47" s="86"/>
      <c r="H47" s="64"/>
      <c r="J47" s="64"/>
      <c r="K47" s="63"/>
      <c r="L47" s="13">
        <f t="shared" si="22"/>
        <v>13321428.571428573</v>
      </c>
      <c r="N47" s="13">
        <f>+C47+E47</f>
        <v>47957142.857142851</v>
      </c>
    </row>
    <row r="48" spans="1:14">
      <c r="A48">
        <v>2016</v>
      </c>
      <c r="B48" s="64">
        <f t="shared" si="23"/>
        <v>13321428.571428573</v>
      </c>
      <c r="C48" s="65">
        <f t="shared" ref="C48:C51" si="24">+C47-B48</f>
        <v>34635714.285714276</v>
      </c>
      <c r="D48">
        <v>0</v>
      </c>
      <c r="F48" s="85">
        <f>$F$45/$F$43</f>
        <v>2673469.387755102</v>
      </c>
      <c r="G48" s="56">
        <f>+F45-F48</f>
        <v>10426530.612244898</v>
      </c>
      <c r="H48" s="64"/>
      <c r="J48" s="64"/>
      <c r="K48" s="63"/>
      <c r="L48" s="13">
        <f>+B48+D48+F48</f>
        <v>15994897.959183674</v>
      </c>
      <c r="N48" s="13">
        <f>+C48+E48+G48</f>
        <v>45062244.897959173</v>
      </c>
    </row>
    <row r="49" spans="1:14">
      <c r="A49">
        <v>2017</v>
      </c>
      <c r="B49" s="64">
        <f t="shared" si="23"/>
        <v>13321428.571428573</v>
      </c>
      <c r="C49" s="67">
        <f t="shared" si="24"/>
        <v>21314285.714285702</v>
      </c>
      <c r="D49">
        <v>0</v>
      </c>
      <c r="F49" s="85">
        <f t="shared" ref="F49:F51" si="25">$F$45/$F$43</f>
        <v>2673469.387755102</v>
      </c>
      <c r="G49" s="68">
        <f>+G48-F49</f>
        <v>7753061.2244897969</v>
      </c>
      <c r="H49" s="86"/>
      <c r="J49" s="64"/>
      <c r="K49" s="63"/>
      <c r="L49" s="70">
        <f>+B49+D49+F49+H49</f>
        <v>15994897.959183674</v>
      </c>
      <c r="N49" s="71">
        <f>+C49+E49+G49+I49</f>
        <v>29067346.938775498</v>
      </c>
    </row>
    <row r="50" spans="1:14">
      <c r="A50">
        <v>2018</v>
      </c>
      <c r="B50" s="64">
        <f t="shared" si="23"/>
        <v>13321428.571428573</v>
      </c>
      <c r="C50" s="63">
        <f t="shared" si="24"/>
        <v>7992857.1428571288</v>
      </c>
      <c r="D50">
        <v>0</v>
      </c>
      <c r="F50" s="85">
        <f t="shared" si="25"/>
        <v>2673469.387755102</v>
      </c>
      <c r="G50" s="13">
        <f t="shared" ref="G50:G52" si="26">+G49-F50</f>
        <v>5079591.8367346954</v>
      </c>
      <c r="H50" s="86"/>
      <c r="J50" s="79">
        <f>$J$45/$J$43</f>
        <v>0</v>
      </c>
      <c r="K50" s="80"/>
      <c r="L50" s="13">
        <f t="shared" ref="L50:L51" si="27">+B50+D50+F50</f>
        <v>15994897.959183674</v>
      </c>
      <c r="N50" s="13">
        <f t="shared" ref="N50:N55" si="28">+C50+E50+G50</f>
        <v>13072448.979591824</v>
      </c>
    </row>
    <row r="51" spans="1:14">
      <c r="A51">
        <v>2019</v>
      </c>
      <c r="B51" s="72">
        <f>B45-SUM(B46:B50)</f>
        <v>7992857.1428571343</v>
      </c>
      <c r="C51" s="63">
        <f t="shared" si="24"/>
        <v>0</v>
      </c>
      <c r="D51">
        <v>0</v>
      </c>
      <c r="F51" s="85">
        <f t="shared" si="25"/>
        <v>2673469.387755102</v>
      </c>
      <c r="G51" s="13">
        <f t="shared" si="26"/>
        <v>2406122.4489795933</v>
      </c>
      <c r="H51" s="86"/>
      <c r="J51" s="79">
        <f t="shared" ref="J51:J54" si="29">$J$45/$J$43</f>
        <v>0</v>
      </c>
      <c r="K51" s="80"/>
      <c r="L51" s="13">
        <f t="shared" si="27"/>
        <v>10666326.530612236</v>
      </c>
      <c r="N51" s="13">
        <f t="shared" si="28"/>
        <v>2406122.4489795933</v>
      </c>
    </row>
    <row r="52" spans="1:14">
      <c r="A52">
        <v>2020</v>
      </c>
      <c r="B52" s="72"/>
      <c r="C52" s="63"/>
      <c r="D52">
        <v>0</v>
      </c>
      <c r="F52" s="85">
        <f>+F45-SUM(F48:F51)</f>
        <v>2406122.448979592</v>
      </c>
      <c r="G52" s="13">
        <f t="shared" si="26"/>
        <v>0</v>
      </c>
      <c r="H52" s="86"/>
      <c r="J52" s="79">
        <f t="shared" si="29"/>
        <v>0</v>
      </c>
      <c r="K52" s="80"/>
      <c r="L52" s="13">
        <f>+B52+D52+F52</f>
        <v>2406122.448979592</v>
      </c>
      <c r="N52" s="13">
        <f t="shared" si="28"/>
        <v>0</v>
      </c>
    </row>
    <row r="53" spans="1:14">
      <c r="A53">
        <v>2021</v>
      </c>
      <c r="B53" s="72"/>
      <c r="C53" s="63"/>
      <c r="F53" s="63"/>
      <c r="H53" s="86"/>
      <c r="J53" s="79">
        <f t="shared" si="29"/>
        <v>0</v>
      </c>
      <c r="K53" s="80"/>
      <c r="L53" s="13">
        <f>+B53+D53+F53</f>
        <v>0</v>
      </c>
      <c r="N53" s="13">
        <f t="shared" si="28"/>
        <v>0</v>
      </c>
    </row>
    <row r="54" spans="1:14">
      <c r="A54">
        <v>2022</v>
      </c>
      <c r="B54" s="72"/>
      <c r="C54" s="63"/>
      <c r="F54" s="86"/>
      <c r="H54" s="63"/>
      <c r="J54" s="79">
        <f t="shared" si="29"/>
        <v>0</v>
      </c>
      <c r="K54" s="80"/>
      <c r="L54" s="13">
        <f t="shared" si="22"/>
        <v>0</v>
      </c>
      <c r="N54" s="13">
        <f t="shared" si="28"/>
        <v>0</v>
      </c>
    </row>
    <row r="55" spans="1:14">
      <c r="A55">
        <v>2023</v>
      </c>
      <c r="B55" s="73"/>
      <c r="C55" s="63"/>
      <c r="D55" s="3"/>
      <c r="F55" s="74"/>
      <c r="H55" s="73"/>
      <c r="J55" s="75">
        <f>J45-SUM(J50:J54)</f>
        <v>0</v>
      </c>
      <c r="K55" s="63"/>
      <c r="L55" s="76">
        <f t="shared" si="22"/>
        <v>0</v>
      </c>
      <c r="N55" s="13">
        <f t="shared" si="28"/>
        <v>0</v>
      </c>
    </row>
    <row r="56" spans="1:14">
      <c r="B56" s="64">
        <f>SUM(B46:B55)</f>
        <v>74600000</v>
      </c>
      <c r="C56" s="63"/>
      <c r="D56" s="64">
        <f>SUM(D46:D55)</f>
        <v>0</v>
      </c>
      <c r="F56" s="64">
        <f>SUM(F46:F55)</f>
        <v>13100000</v>
      </c>
      <c r="H56" s="64">
        <f>SUM(H46:H55)</f>
        <v>0</v>
      </c>
      <c r="J56" s="64">
        <f>SUM(J46:J55)</f>
        <v>0</v>
      </c>
      <c r="K56" s="63"/>
      <c r="L56" s="13">
        <f>SUM(L46:L55)</f>
        <v>87699999.999999985</v>
      </c>
    </row>
    <row r="58" spans="1:14">
      <c r="B58" s="72"/>
      <c r="C58" s="63"/>
      <c r="L58" s="13"/>
    </row>
    <row r="59" spans="1:14">
      <c r="A59" t="s">
        <v>82</v>
      </c>
      <c r="N59" s="83">
        <f>+N12+N31+N49</f>
        <v>11031957.287198562</v>
      </c>
    </row>
    <row r="60" spans="1:14">
      <c r="A60">
        <v>2017</v>
      </c>
      <c r="B60" s="13">
        <f>L12+L31+L49</f>
        <v>-85450008.160018548</v>
      </c>
      <c r="C60" s="13"/>
    </row>
    <row r="61" spans="1:14">
      <c r="A61">
        <v>2018</v>
      </c>
      <c r="B61" s="13">
        <f t="shared" ref="B61:B64" si="30">L13+L32+L50</f>
        <v>-141282782.03756958</v>
      </c>
      <c r="C61" s="13"/>
    </row>
    <row r="62" spans="1:14">
      <c r="A62">
        <v>2019</v>
      </c>
      <c r="B62" s="13">
        <f t="shared" si="30"/>
        <v>91841058.976716161</v>
      </c>
      <c r="C62" s="13"/>
    </row>
    <row r="63" spans="1:14">
      <c r="A63">
        <v>2020</v>
      </c>
      <c r="B63" s="13">
        <f t="shared" si="30"/>
        <v>-13931216.77439704</v>
      </c>
      <c r="C63" s="13"/>
    </row>
    <row r="64" spans="1:14">
      <c r="A64">
        <v>2021</v>
      </c>
      <c r="B64" s="13">
        <f t="shared" si="30"/>
        <v>0</v>
      </c>
      <c r="C64" s="13"/>
    </row>
    <row r="65" spans="1:10">
      <c r="B65" s="83">
        <f>SUM(B60:B63)</f>
        <v>-148822947.99526903</v>
      </c>
      <c r="C65" s="13"/>
      <c r="D65" s="49" t="s">
        <v>83</v>
      </c>
    </row>
    <row r="68" spans="1:10">
      <c r="A68" s="84" t="s">
        <v>84</v>
      </c>
    </row>
    <row r="69" spans="1:10">
      <c r="B69" s="60">
        <v>2014</v>
      </c>
      <c r="C69" s="5"/>
      <c r="D69" s="60">
        <v>2015</v>
      </c>
      <c r="E69" s="5"/>
      <c r="F69" s="60">
        <v>2016</v>
      </c>
      <c r="H69" s="60">
        <v>2017</v>
      </c>
      <c r="J69" s="60" t="s">
        <v>4</v>
      </c>
    </row>
    <row r="70" spans="1:10">
      <c r="A70">
        <v>2017</v>
      </c>
      <c r="B70" s="13">
        <f>B12+B31+B49</f>
        <v>-237050434.83571431</v>
      </c>
      <c r="D70" s="13">
        <f>D12+D31+D49</f>
        <v>101970681.58181819</v>
      </c>
      <c r="F70" s="13">
        <f>F12+F31+F49</f>
        <v>137139892.21632653</v>
      </c>
      <c r="H70" s="13">
        <f>H12+H31+H49</f>
        <v>-87510147.122448981</v>
      </c>
      <c r="J70" s="13">
        <f>B70+D70+F70+H70</f>
        <v>-85450008.160018563</v>
      </c>
    </row>
    <row r="71" spans="1:10">
      <c r="A71">
        <v>2018</v>
      </c>
      <c r="B71" s="13">
        <f t="shared" ref="B71:B73" si="31">B13+B32+B50</f>
        <v>-237050434.83571431</v>
      </c>
      <c r="D71" s="13">
        <f t="shared" ref="D71:D74" si="32">D13+D32+D50</f>
        <v>101970681.58181819</v>
      </c>
      <c r="F71" s="13">
        <f t="shared" ref="F71:F74" si="33">F13+F32+F50</f>
        <v>137139892.21632653</v>
      </c>
      <c r="H71" s="13">
        <f t="shared" ref="H71:H74" si="34">H13+H32+H50</f>
        <v>-87510147.122448981</v>
      </c>
      <c r="J71" s="13">
        <f t="shared" ref="J71:J74" si="35">B71+D71+F71+H71</f>
        <v>-85450008.160018563</v>
      </c>
    </row>
    <row r="72" spans="1:10">
      <c r="A72">
        <v>2019</v>
      </c>
      <c r="B72" s="13">
        <f t="shared" si="31"/>
        <v>-3926593.8214285672</v>
      </c>
      <c r="D72" s="13">
        <f t="shared" si="32"/>
        <v>101970681.58181819</v>
      </c>
      <c r="F72" s="13">
        <f t="shared" si="33"/>
        <v>137139892.21632653</v>
      </c>
      <c r="H72" s="13">
        <f t="shared" si="34"/>
        <v>-87510147.122448981</v>
      </c>
      <c r="J72" s="13">
        <f t="shared" si="35"/>
        <v>147673832.85426718</v>
      </c>
    </row>
    <row r="73" spans="1:10">
      <c r="A73">
        <v>2020</v>
      </c>
      <c r="B73" s="13">
        <f t="shared" si="31"/>
        <v>0</v>
      </c>
      <c r="D73" s="13">
        <f t="shared" si="32"/>
        <v>-9593754.9090909213</v>
      </c>
      <c r="F73" s="13">
        <f t="shared" si="33"/>
        <v>139005459.13469389</v>
      </c>
      <c r="H73" s="13">
        <f t="shared" si="34"/>
        <v>-87510147.122448981</v>
      </c>
      <c r="J73" s="13">
        <f t="shared" si="35"/>
        <v>41901557.103153989</v>
      </c>
    </row>
    <row r="74" spans="1:10">
      <c r="A74">
        <v>2021</v>
      </c>
      <c r="D74" s="13">
        <f t="shared" si="32"/>
        <v>0</v>
      </c>
      <c r="F74" s="13">
        <f t="shared" si="33"/>
        <v>0</v>
      </c>
      <c r="H74" s="13">
        <f t="shared" si="34"/>
        <v>-93093424.510204077</v>
      </c>
      <c r="J74" s="13">
        <f t="shared" si="35"/>
        <v>-93093424.510204077</v>
      </c>
    </row>
    <row r="75" spans="1:10">
      <c r="J75" s="83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Manager/>
  <Company>Eide Bailly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bb6212</dc:creator>
  <cp:keywords/>
  <dc:description/>
  <cp:lastModifiedBy>Mike Anderson</cp:lastModifiedBy>
  <cp:revision/>
  <dcterms:created xsi:type="dcterms:W3CDTF">2009-09-23T16:56:24Z</dcterms:created>
  <dcterms:modified xsi:type="dcterms:W3CDTF">2024-07-15T17:27:19Z</dcterms:modified>
  <cp:category/>
  <cp:contentStatus/>
</cp:coreProperties>
</file>