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68\2023 Base Plan\June 30\"/>
    </mc:Choice>
  </mc:AlternateContent>
  <xr:revisionPtr revIDLastSave="0" documentId="13_ncr:1_{7F53DA5F-91FA-41A8-8B8C-84981AC9D02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 Exp" sheetId="1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4" i="13" l="1"/>
  <c r="A75" i="13" s="1"/>
  <c r="A73" i="13"/>
  <c r="A64" i="13"/>
  <c r="A65" i="13"/>
  <c r="A63" i="13"/>
  <c r="A49" i="13"/>
  <c r="A50" i="13" s="1"/>
  <c r="A51" i="13" s="1"/>
  <c r="A52" i="13" s="1"/>
  <c r="A53" i="13" s="1"/>
  <c r="A54" i="13" s="1"/>
  <c r="A55" i="13" s="1"/>
  <c r="A56" i="13" s="1"/>
  <c r="A48" i="13"/>
  <c r="A31" i="13"/>
  <c r="A32" i="13" s="1"/>
  <c r="A33" i="13" s="1"/>
  <c r="A34" i="13" s="1"/>
  <c r="A35" i="13" s="1"/>
  <c r="A36" i="13" s="1"/>
  <c r="A37" i="13" s="1"/>
  <c r="A38" i="13" s="1"/>
  <c r="A30" i="13"/>
  <c r="A11" i="13"/>
  <c r="A12" i="13" s="1"/>
  <c r="A13" i="13" s="1"/>
  <c r="A14" i="13" s="1"/>
  <c r="A15" i="13" s="1"/>
  <c r="A16" i="13" s="1"/>
  <c r="A17" i="13" s="1"/>
  <c r="A18" i="13" s="1"/>
  <c r="A10" i="13"/>
  <c r="J29" i="6" l="1"/>
  <c r="J28" i="6"/>
  <c r="Q44" i="7"/>
  <c r="H14" i="6" l="1"/>
  <c r="G14" i="6"/>
  <c r="E40" i="7"/>
  <c r="U23" i="7"/>
  <c r="E41" i="7" l="1"/>
  <c r="E39" i="7"/>
  <c r="J75" i="13" l="1"/>
  <c r="H74" i="13"/>
  <c r="F73" i="13"/>
  <c r="D72" i="13"/>
  <c r="B72" i="13"/>
  <c r="H51" i="13"/>
  <c r="H52" i="13"/>
  <c r="H53" i="13"/>
  <c r="H50" i="13"/>
  <c r="I50" i="13" s="1"/>
  <c r="D51" i="13"/>
  <c r="D50" i="13"/>
  <c r="D49" i="13"/>
  <c r="D48" i="13"/>
  <c r="E48" i="13" s="1"/>
  <c r="E49" i="13" s="1"/>
  <c r="E50" i="13" s="1"/>
  <c r="E51" i="13" s="1"/>
  <c r="L37" i="13"/>
  <c r="J36" i="13"/>
  <c r="H33" i="13"/>
  <c r="H34" i="13"/>
  <c r="H35" i="13"/>
  <c r="F34" i="13"/>
  <c r="D30" i="13"/>
  <c r="E30" i="13" s="1"/>
  <c r="D31" i="13"/>
  <c r="D32" i="13"/>
  <c r="D33" i="13"/>
  <c r="B32" i="13"/>
  <c r="L18" i="13"/>
  <c r="O18" i="13" s="1"/>
  <c r="J17" i="13"/>
  <c r="J16" i="13"/>
  <c r="J15" i="13"/>
  <c r="J14" i="13"/>
  <c r="J13" i="13"/>
  <c r="H16" i="13"/>
  <c r="H15" i="13"/>
  <c r="H14" i="13"/>
  <c r="H13" i="13"/>
  <c r="H12" i="13"/>
  <c r="F15" i="13"/>
  <c r="F14" i="13"/>
  <c r="F13" i="13"/>
  <c r="F12" i="13"/>
  <c r="F11" i="13"/>
  <c r="D14" i="13"/>
  <c r="D13" i="13"/>
  <c r="D12" i="13"/>
  <c r="D11" i="13"/>
  <c r="D10" i="13"/>
  <c r="E10" i="13"/>
  <c r="E11" i="13" s="1"/>
  <c r="B9" i="13"/>
  <c r="D34" i="13" l="1"/>
  <c r="H54" i="13"/>
  <c r="I51" i="13"/>
  <c r="I52" i="13" s="1"/>
  <c r="I53" i="13" s="1"/>
  <c r="I54" i="13" s="1"/>
  <c r="D52" i="13"/>
  <c r="E52" i="13" s="1"/>
  <c r="H72" i="13"/>
  <c r="B10" i="13"/>
  <c r="B11" i="13"/>
  <c r="B12" i="13"/>
  <c r="B13" i="13"/>
  <c r="F20" i="13"/>
  <c r="J20" i="13"/>
  <c r="K13" i="13"/>
  <c r="K14" i="13" s="1"/>
  <c r="K15" i="13" s="1"/>
  <c r="H20" i="13"/>
  <c r="I12" i="13"/>
  <c r="I13" i="13" s="1"/>
  <c r="I14" i="13" s="1"/>
  <c r="G11" i="13"/>
  <c r="G12" i="13" s="1"/>
  <c r="G13" i="13" s="1"/>
  <c r="G14" i="13" s="1"/>
  <c r="G15" i="13" s="1"/>
  <c r="E12" i="13"/>
  <c r="E13" i="13" s="1"/>
  <c r="D20" i="13"/>
  <c r="C9" i="13"/>
  <c r="C10" i="13" l="1"/>
  <c r="C11" i="13" s="1"/>
  <c r="C12" i="13" s="1"/>
  <c r="C13" i="13" s="1"/>
  <c r="B20" i="13"/>
  <c r="I15" i="13"/>
  <c r="I16" i="13" s="1"/>
  <c r="E14" i="13"/>
  <c r="Q13" i="13"/>
  <c r="K16" i="13"/>
  <c r="K17" i="13" s="1"/>
  <c r="L17" i="13" l="1"/>
  <c r="O17" i="13" l="1"/>
  <c r="J52" i="13"/>
  <c r="J53" i="13"/>
  <c r="J54" i="13"/>
  <c r="J51" i="13"/>
  <c r="K51" i="13" s="1"/>
  <c r="K52" i="13" s="1"/>
  <c r="K53" i="13" s="1"/>
  <c r="J33" i="13"/>
  <c r="K33" i="13" s="1"/>
  <c r="J34" i="13"/>
  <c r="J35" i="13"/>
  <c r="J73" i="13" l="1"/>
  <c r="J72" i="13"/>
  <c r="K54" i="13"/>
  <c r="K34" i="13"/>
  <c r="K35" i="13" s="1"/>
  <c r="J55" i="13"/>
  <c r="J57" i="13"/>
  <c r="K55" i="13" l="1"/>
  <c r="K36" i="13"/>
  <c r="J37" i="13"/>
  <c r="K37" i="13" l="1"/>
  <c r="J74" i="13"/>
  <c r="O37" i="13"/>
  <c r="J39" i="13"/>
  <c r="E38" i="7"/>
  <c r="K17" i="7" l="1"/>
  <c r="G20" i="6" l="1"/>
  <c r="B38" i="8" s="1"/>
  <c r="H20" i="6"/>
  <c r="G38" i="8" s="1"/>
  <c r="L23" i="8" l="1"/>
  <c r="C38" i="8"/>
  <c r="I25" i="7"/>
  <c r="K23" i="7"/>
  <c r="I20" i="7"/>
  <c r="I28" i="7" l="1"/>
  <c r="H16" i="6" l="1"/>
  <c r="C26" i="8" s="1"/>
  <c r="G16" i="6"/>
  <c r="B26" i="8" s="1"/>
  <c r="D73" i="13"/>
  <c r="C23" i="8" l="1"/>
  <c r="D57" i="13" l="1"/>
  <c r="L55" i="13"/>
  <c r="L54" i="13"/>
  <c r="O54" i="13" s="1"/>
  <c r="L53" i="13"/>
  <c r="L52" i="13"/>
  <c r="M52" i="13" s="1"/>
  <c r="M53" i="13" s="1"/>
  <c r="F52" i="13"/>
  <c r="F51" i="13"/>
  <c r="F50" i="13"/>
  <c r="F49" i="13"/>
  <c r="G49" i="13" s="1"/>
  <c r="B48" i="13"/>
  <c r="O48" i="13" s="1"/>
  <c r="L36" i="13"/>
  <c r="L35" i="13"/>
  <c r="L34" i="13"/>
  <c r="F33" i="13"/>
  <c r="H32" i="13"/>
  <c r="F32" i="13"/>
  <c r="F31" i="13"/>
  <c r="L16" i="13"/>
  <c r="L15" i="13"/>
  <c r="L14" i="13"/>
  <c r="O14" i="13"/>
  <c r="M54" i="13" l="1"/>
  <c r="Q53" i="13"/>
  <c r="I32" i="13"/>
  <c r="I33" i="13" s="1"/>
  <c r="I34" i="13" s="1"/>
  <c r="H36" i="13"/>
  <c r="H73" i="13" s="1"/>
  <c r="O55" i="13"/>
  <c r="B64" i="13" s="1"/>
  <c r="L74" i="13"/>
  <c r="N74" i="13" s="1"/>
  <c r="M34" i="13"/>
  <c r="M35" i="13" s="1"/>
  <c r="L38" i="13"/>
  <c r="O15" i="13"/>
  <c r="L72" i="13"/>
  <c r="O16" i="13"/>
  <c r="L73" i="13"/>
  <c r="F35" i="13"/>
  <c r="G31" i="13"/>
  <c r="G32" i="13" s="1"/>
  <c r="G33" i="13" s="1"/>
  <c r="G34" i="13" s="1"/>
  <c r="M14" i="13"/>
  <c r="Q14" i="13" s="1"/>
  <c r="L20" i="13"/>
  <c r="O10" i="13"/>
  <c r="G50" i="13"/>
  <c r="G51" i="13" s="1"/>
  <c r="G52" i="13" s="1"/>
  <c r="Q52" i="13" s="1"/>
  <c r="O32" i="13"/>
  <c r="L56" i="13"/>
  <c r="B30" i="13"/>
  <c r="B31" i="13"/>
  <c r="B29" i="13"/>
  <c r="H57" i="13"/>
  <c r="B50" i="13"/>
  <c r="O50" i="13" s="1"/>
  <c r="B47" i="13"/>
  <c r="B49" i="13"/>
  <c r="O49" i="13" s="1"/>
  <c r="F53" i="13"/>
  <c r="O53" i="13" s="1"/>
  <c r="M55" i="13" l="1"/>
  <c r="Q54" i="13"/>
  <c r="C47" i="13"/>
  <c r="C48" i="13" s="1"/>
  <c r="B51" i="13"/>
  <c r="O51" i="13" s="1"/>
  <c r="B33" i="13"/>
  <c r="M15" i="13"/>
  <c r="Q15" i="13" s="1"/>
  <c r="F72" i="13"/>
  <c r="I35" i="13"/>
  <c r="I36" i="13" s="1"/>
  <c r="Q34" i="13"/>
  <c r="Q60" i="13" s="1"/>
  <c r="O36" i="13"/>
  <c r="B63" i="13" s="1"/>
  <c r="C29" i="13"/>
  <c r="O34" i="13"/>
  <c r="O38" i="13"/>
  <c r="L75" i="13"/>
  <c r="N75" i="13" s="1"/>
  <c r="M36" i="13"/>
  <c r="M37" i="13" s="1"/>
  <c r="M38" i="13" s="1"/>
  <c r="G35" i="13"/>
  <c r="L39" i="13"/>
  <c r="O35" i="13"/>
  <c r="B62" i="13" s="1"/>
  <c r="M16" i="13"/>
  <c r="Q16" i="13" s="1"/>
  <c r="N73" i="13"/>
  <c r="H39" i="13"/>
  <c r="O31" i="13"/>
  <c r="F39" i="13"/>
  <c r="O13" i="13"/>
  <c r="O11" i="13"/>
  <c r="L57" i="13"/>
  <c r="O56" i="13"/>
  <c r="D39" i="13"/>
  <c r="O12" i="13"/>
  <c r="O30" i="13"/>
  <c r="O52" i="13"/>
  <c r="O9" i="13"/>
  <c r="C49" i="13"/>
  <c r="Q48" i="13"/>
  <c r="O47" i="13"/>
  <c r="E31" i="13"/>
  <c r="E32" i="13" s="1"/>
  <c r="E33" i="13" s="1"/>
  <c r="O29" i="13"/>
  <c r="F57" i="13"/>
  <c r="G53" i="13"/>
  <c r="M56" i="13" l="1"/>
  <c r="Q55" i="13"/>
  <c r="Q35" i="13"/>
  <c r="D1" i="13"/>
  <c r="E34" i="13"/>
  <c r="Q36" i="13"/>
  <c r="B65" i="13"/>
  <c r="Q37" i="13"/>
  <c r="M17" i="13"/>
  <c r="O20" i="13"/>
  <c r="N72" i="13"/>
  <c r="N76" i="13" s="1"/>
  <c r="C30" i="13"/>
  <c r="C31" i="13" s="1"/>
  <c r="Q31" i="13" s="1"/>
  <c r="Q29" i="13"/>
  <c r="B57" i="13"/>
  <c r="O57" i="13"/>
  <c r="Q49" i="13"/>
  <c r="C50" i="13"/>
  <c r="Q50" i="13" s="1"/>
  <c r="Q9" i="13"/>
  <c r="Q17" i="13" l="1"/>
  <c r="M18" i="13"/>
  <c r="Q18" i="13" s="1"/>
  <c r="B66" i="13"/>
  <c r="Q30" i="13"/>
  <c r="C32" i="13"/>
  <c r="Q32" i="13" s="1"/>
  <c r="C51" i="13"/>
  <c r="Q51" i="13" s="1"/>
  <c r="Q10" i="13"/>
  <c r="Q11" i="13"/>
  <c r="Q12" i="13" l="1"/>
  <c r="O33" i="13" l="1"/>
  <c r="O39" i="13" s="1"/>
  <c r="B39" i="13"/>
  <c r="C33" i="13"/>
  <c r="Q33" i="13" s="1"/>
  <c r="G42" i="8"/>
  <c r="S23" i="7" l="1"/>
  <c r="S17" i="7"/>
  <c r="I38" i="7" l="1"/>
  <c r="G38" i="7"/>
  <c r="K38" i="7" l="1"/>
  <c r="H24" i="6"/>
  <c r="H42" i="8" l="1"/>
  <c r="M38" i="7"/>
  <c r="O38" i="7"/>
  <c r="D6" i="6"/>
  <c r="K20" i="7"/>
  <c r="B22" i="8" s="1"/>
  <c r="A20" i="7"/>
  <c r="E20" i="7"/>
  <c r="G20" i="7"/>
  <c r="M20" i="7"/>
  <c r="O20" i="7"/>
  <c r="Q20" i="7"/>
  <c r="S20" i="7"/>
  <c r="H22" i="8" s="1"/>
  <c r="U20" i="7"/>
  <c r="W20" i="7"/>
  <c r="M10" i="8" s="1"/>
  <c r="K25" i="7"/>
  <c r="K28" i="7" s="1"/>
  <c r="S25" i="7"/>
  <c r="E25" i="7"/>
  <c r="G25" i="7"/>
  <c r="M25" i="7"/>
  <c r="O25" i="7"/>
  <c r="O28" i="7" s="1"/>
  <c r="Q25" i="7"/>
  <c r="U25" i="7"/>
  <c r="W25" i="7"/>
  <c r="I39" i="7"/>
  <c r="G40" i="7"/>
  <c r="G41" i="7"/>
  <c r="I41" i="7"/>
  <c r="E42" i="7"/>
  <c r="G42" i="7" s="1"/>
  <c r="G19" i="6" l="1"/>
  <c r="L22" i="8" s="1"/>
  <c r="L27" i="8" s="1"/>
  <c r="H19" i="6"/>
  <c r="M22" i="8" s="1"/>
  <c r="U28" i="7"/>
  <c r="I40" i="7"/>
  <c r="K40" i="7" s="1"/>
  <c r="G28" i="7"/>
  <c r="I42" i="7"/>
  <c r="K42" i="7" s="1"/>
  <c r="O42" i="7" s="1"/>
  <c r="Q28" i="7"/>
  <c r="E28" i="7"/>
  <c r="M28" i="7"/>
  <c r="K41" i="7"/>
  <c r="W28" i="7"/>
  <c r="G39" i="7"/>
  <c r="K39" i="7" s="1"/>
  <c r="G15" i="6" l="1"/>
  <c r="B24" i="8" s="1"/>
  <c r="H15" i="6"/>
  <c r="B25" i="8"/>
  <c r="G13" i="6"/>
  <c r="L11" i="8" s="1"/>
  <c r="H13" i="6"/>
  <c r="M11" i="8" s="1"/>
  <c r="G18" i="6"/>
  <c r="G23" i="8" s="1"/>
  <c r="H18" i="6"/>
  <c r="H23" i="8" s="1"/>
  <c r="H17" i="6"/>
  <c r="H24" i="8" s="1"/>
  <c r="G17" i="6"/>
  <c r="G24" i="8" s="1"/>
  <c r="C24" i="8"/>
  <c r="C25" i="8"/>
  <c r="M42" i="7"/>
  <c r="O43" i="7" s="1"/>
  <c r="M39" i="7"/>
  <c r="O39" i="7"/>
  <c r="O40" i="7"/>
  <c r="M40" i="7"/>
  <c r="M41" i="7"/>
  <c r="O41" i="7"/>
  <c r="M43" i="7" l="1"/>
  <c r="B29" i="8"/>
  <c r="C29" i="8"/>
  <c r="M14" i="8"/>
  <c r="G28" i="8"/>
  <c r="H28" i="8"/>
  <c r="G25" i="6"/>
  <c r="H25" i="6"/>
  <c r="O45" i="7"/>
  <c r="J25" i="6" l="1"/>
  <c r="M45" i="7"/>
  <c r="Q45" i="7" s="1"/>
  <c r="H31" i="8"/>
  <c r="B3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Simpson</author>
  </authors>
  <commentList>
    <comment ref="B2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Alex Simpson:</t>
        </r>
        <r>
          <rPr>
            <sz val="9"/>
            <color indexed="81"/>
            <rFont val="Tahoma"/>
            <family val="2"/>
          </rPr>
          <t xml:space="preserve">
Includes Contributions subsequent to measure ment date
</t>
        </r>
      </text>
    </comment>
  </commentList>
</comments>
</file>

<file path=xl/sharedStrings.xml><?xml version="1.0" encoding="utf-8"?>
<sst xmlns="http://schemas.openxmlformats.org/spreadsheetml/2006/main" count="135" uniqueCount="92">
  <si>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</si>
  <si>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</si>
  <si>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</si>
  <si>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</si>
  <si>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</si>
  <si>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</si>
  <si>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</si>
  <si>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</si>
  <si>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</si>
  <si>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Plan Pension Expense/ (Revenue)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</si>
  <si>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</si>
  <si>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</si>
  <si>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</si>
  <si>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</si>
  <si>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</si>
  <si>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</si>
  <si>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</si>
  <si>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</si>
  <si>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</si>
  <si>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</si>
  <si>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</si>
  <si>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</si>
  <si>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</si>
  <si>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</si>
  <si>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</si>
  <si>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</si>
  <si>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Change Employer portion</t>
  </si>
  <si>
    <t>Proportionate Share of</t>
  </si>
  <si>
    <t>Collective Deferred Outflows</t>
  </si>
  <si>
    <t>Collective Deferred Inflows</t>
  </si>
  <si>
    <t>Collective Pension Expense/Revenue</t>
  </si>
  <si>
    <t>Cash to PERSI</t>
  </si>
  <si>
    <t>Contribution Expense</t>
  </si>
  <si>
    <t>1)</t>
  </si>
  <si>
    <t>a) already recorded on employers GL - contributions paid to PERSI</t>
  </si>
  <si>
    <t>Change in Proportionate Share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</si>
  <si>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</si>
  <si>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</si>
  <si>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</si>
  <si>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</si>
  <si>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</si>
  <si>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</si>
  <si>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</si>
  <si>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</si>
  <si>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</si>
  <si>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</si>
  <si>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</si>
  <si>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</si>
  <si>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</si>
  <si>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</si>
  <si>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</si>
  <si>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</si>
  <si>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</si>
  <si>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</si>
  <si>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</si>
  <si>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</si>
  <si>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Pension Expense (debit) / Revenue (credit)</t>
  </si>
  <si>
    <t>DOR - Experience</t>
  </si>
  <si>
    <t>Net Pension Liability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</si>
  <si>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</si>
  <si>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</si>
  <si>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</si>
  <si>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</si>
  <si>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</si>
  <si>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</si>
  <si>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</si>
  <si>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</si>
  <si>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</si>
  <si>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Will need to update the items in this row highlighted in yellow each year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</si>
  <si>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</si>
  <si>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</si>
  <si>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</si>
  <si>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</si>
  <si>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</si>
  <si>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r>
      <t>REMINDER: Please remember to carry your balances forward from prior fiscal year for</t>
    </r>
    <r>
      <rPr>
        <b/>
        <sz val="12"/>
        <color rgb="FFFF0000"/>
        <rFont val="Times New Roman"/>
        <family val="1"/>
      </rPr>
      <t xml:space="preserve"> Government-Wide financial statements ONLY</t>
    </r>
  </si>
  <si>
    <t>Change in Net Pension Liability per allocation report</t>
  </si>
  <si>
    <t>**Add your proportionate share to amount</t>
  </si>
  <si>
    <t>Pension expense / revenue per actuary</t>
  </si>
  <si>
    <t>Current Year Expense</t>
  </si>
  <si>
    <t>FY21</t>
  </si>
  <si>
    <t>Change in DIR per allocation report</t>
  </si>
  <si>
    <t>FY22</t>
  </si>
  <si>
    <t>FY21 Data</t>
  </si>
  <si>
    <t>FY22 Cumulative Data</t>
  </si>
  <si>
    <t>June 30 Net Pension Liability/(Asset)</t>
  </si>
  <si>
    <t>4.6 years</t>
  </si>
  <si>
    <t>June 30, 2023 Entry</t>
  </si>
  <si>
    <t>Deferred Outflow of Resources - Experiences</t>
  </si>
  <si>
    <t>Proportionate Share Calculation from Input Sheet</t>
  </si>
  <si>
    <t>Difference</t>
  </si>
  <si>
    <t>T-Account Illustration for Employers with 6/30/23 FYE</t>
  </si>
  <si>
    <t>Using 6/30/22 as the Measurement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</si>
</sst>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40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0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52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2" fontId="0" fillId="0" borderId="0" xfId="0" applyNumberFormat="1"/>
    <xf numFmtId="165" fontId="87" fillId="0" borderId="0" xfId="784" applyNumberFormat="1" applyFont="1" applyBorder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102" fillId="0" borderId="20" xfId="0" applyFont="1" applyBorder="1"/>
    <xf numFmtId="0" fontId="102" fillId="0" borderId="0" xfId="0" applyFont="1" applyAlignment="1">
      <alignment horizontal="center"/>
    </xf>
    <xf numFmtId="0" fontId="102" fillId="0" borderId="0" xfId="0" applyFont="1"/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165" fontId="100" fillId="0" borderId="0" xfId="729" applyNumberFormat="1" applyFont="1" applyFill="1"/>
    <xf numFmtId="0" fontId="103" fillId="0" borderId="0" xfId="0" applyFont="1" applyAlignment="1">
      <alignment horizontal="center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165" fontId="106" fillId="0" borderId="0" xfId="729" applyNumberFormat="1" applyFont="1"/>
    <xf numFmtId="0" fontId="0" fillId="79" borderId="0" xfId="0" applyFill="1"/>
    <xf numFmtId="165" fontId="106" fillId="0" borderId="0" xfId="809" applyNumberFormat="1" applyFont="1" applyBorder="1"/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4" fontId="106" fillId="0" borderId="24" xfId="1115" applyFont="1" applyBorder="1"/>
    <xf numFmtId="42" fontId="95" fillId="0" borderId="31" xfId="845" applyNumberFormat="1" applyFont="1" applyBorder="1"/>
    <xf numFmtId="41" fontId="99" fillId="80" borderId="0" xfId="1731" applyNumberFormat="1" applyFont="1" applyFill="1"/>
    <xf numFmtId="191" fontId="99" fillId="80" borderId="0" xfId="2358" applyNumberFormat="1" applyFont="1" applyFill="1" applyBorder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165" fontId="131" fillId="81" borderId="0" xfId="0" applyNumberFormat="1" applyFont="1" applyFill="1"/>
    <xf numFmtId="0" fontId="134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0" borderId="20" xfId="0" applyNumberFormat="1" applyBorder="1"/>
    <xf numFmtId="43" fontId="0" fillId="0" borderId="0" xfId="2755" applyFont="1" applyBorder="1"/>
    <xf numFmtId="165" fontId="0" fillId="82" borderId="0" xfId="2755" applyNumberFormat="1" applyFont="1" applyFill="1"/>
    <xf numFmtId="43" fontId="0" fillId="0" borderId="0" xfId="2755" applyFont="1" applyFill="1" applyBorder="1"/>
    <xf numFmtId="165" fontId="0" fillId="82" borderId="0" xfId="2755" applyNumberFormat="1" applyFont="1" applyFill="1" applyAlignment="1">
      <alignment horizontal="right"/>
    </xf>
    <xf numFmtId="165" fontId="131" fillId="83" borderId="0" xfId="0" applyNumberFormat="1" applyFont="1" applyFill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0" fillId="81" borderId="0" xfId="0" applyFill="1" applyAlignment="1">
      <alignment horizontal="center" wrapText="1"/>
    </xf>
    <xf numFmtId="0" fontId="131" fillId="81" borderId="0" xfId="0" applyFont="1" applyFill="1" applyAlignment="1">
      <alignment horizontal="center" wrapText="1"/>
    </xf>
    <xf numFmtId="0" fontId="131" fillId="83" borderId="20" xfId="0" applyFont="1" applyFill="1" applyBorder="1" applyAlignment="1">
      <alignment horizontal="center" wrapText="1"/>
    </xf>
    <xf numFmtId="42" fontId="95" fillId="0" borderId="0" xfId="784" applyNumberFormat="1" applyFont="1" applyBorder="1"/>
    <xf numFmtId="0" fontId="135" fillId="0" borderId="0" xfId="0" applyFont="1" applyAlignment="1">
      <alignment horizontal="left"/>
    </xf>
    <xf numFmtId="0" fontId="135" fillId="0" borderId="0" xfId="0" applyFont="1" applyAlignment="1">
      <alignment horizontal="left" wrapText="1"/>
    </xf>
    <xf numFmtId="0" fontId="137" fillId="0" borderId="20" xfId="0" applyFont="1" applyBorder="1"/>
    <xf numFmtId="165" fontId="133" fillId="0" borderId="34" xfId="729" applyNumberFormat="1" applyFont="1" applyBorder="1"/>
    <xf numFmtId="165" fontId="132" fillId="0" borderId="0" xfId="2755" applyNumberFormat="1" applyFont="1"/>
    <xf numFmtId="165" fontId="132" fillId="0" borderId="0" xfId="2755" applyNumberFormat="1" applyFont="1" applyFill="1"/>
    <xf numFmtId="42" fontId="95" fillId="0" borderId="31" xfId="845" applyNumberFormat="1" applyFont="1" applyFill="1" applyBorder="1"/>
    <xf numFmtId="44" fontId="106" fillId="0" borderId="24" xfId="1115" applyFont="1" applyFill="1" applyBorder="1"/>
    <xf numFmtId="164" fontId="106" fillId="0" borderId="0" xfId="1115" applyNumberFormat="1" applyFont="1" applyFill="1" applyBorder="1"/>
    <xf numFmtId="165" fontId="0" fillId="0" borderId="0" xfId="729" applyNumberFormat="1" applyFont="1" applyFill="1" applyAlignment="1">
      <alignment horizontal="right"/>
    </xf>
    <xf numFmtId="165" fontId="0" fillId="0" borderId="0" xfId="729" applyNumberFormat="1" applyFont="1" applyFill="1"/>
    <xf numFmtId="165" fontId="0" fillId="0" borderId="0" xfId="729" applyNumberFormat="1" applyFont="1" applyAlignment="1">
      <alignment horizontal="right"/>
    </xf>
    <xf numFmtId="165" fontId="0" fillId="0" borderId="20" xfId="729" applyNumberFormat="1" applyFont="1" applyBorder="1" applyAlignment="1">
      <alignment horizontal="right"/>
    </xf>
    <xf numFmtId="41" fontId="0" fillId="0" borderId="0" xfId="0" applyNumberFormat="1"/>
    <xf numFmtId="165" fontId="0" fillId="0" borderId="48" xfId="2755" applyNumberFormat="1" applyFont="1" applyFill="1" applyBorder="1"/>
    <xf numFmtId="165" fontId="0" fillId="0" borderId="20" xfId="2755" applyNumberFormat="1" applyFont="1" applyFill="1" applyBorder="1"/>
    <xf numFmtId="43" fontId="132" fillId="0" borderId="0" xfId="2755" applyFont="1" applyFill="1"/>
    <xf numFmtId="165" fontId="129" fillId="0" borderId="0" xfId="2755" applyNumberFormat="1" applyFont="1" applyFill="1"/>
    <xf numFmtId="43" fontId="129" fillId="0" borderId="0" xfId="0" applyNumberFormat="1" applyFont="1"/>
    <xf numFmtId="165" fontId="132" fillId="0" borderId="0" xfId="2755" applyNumberFormat="1" applyFont="1" applyBorder="1"/>
    <xf numFmtId="165" fontId="0" fillId="0" borderId="20" xfId="729" applyNumberFormat="1" applyFont="1" applyBorder="1"/>
    <xf numFmtId="43" fontId="129" fillId="0" borderId="0" xfId="2755" applyFont="1" applyFill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135" fillId="0" borderId="0" xfId="0" applyFont="1" applyAlignment="1">
      <alignment horizontal="left" wrapText="1"/>
    </xf>
    <xf numFmtId="0" fontId="103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30" fillId="0" borderId="0" xfId="0" applyFont="1" applyAlignment="1">
      <alignment horizontal="center"/>
    </xf>
    <xf numFmtId="165" fontId="0" fillId="0" borderId="33" xfId="0" applyNumberFormat="1" applyBorder="1"/>
    <xf numFmtId="165" fontId="0" fillId="0" borderId="29" xfId="0" applyNumberFormat="1" applyBorder="1"/>
    <xf numFmtId="0" fontId="0" fillId="0" borderId="0" xfId="0" applyFont="1"/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285750</xdr:colOff>
      <xdr:row>12</xdr:row>
      <xdr:rowOff>38100</xdr:rowOff>
    </xdr:from>
    <xdr:to>
      <xdr:col>17</xdr:col>
      <xdr:colOff>104774</xdr:colOff>
      <xdr:row>15</xdr:row>
      <xdr:rowOff>19051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8639175" y="25146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5"/>
  <sheetViews>
    <sheetView tabSelected="1" zoomScale="80" zoomScaleNormal="80" workbookViewId="0">
      <selection activeCell="I9" sqref="I9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8.42578125" bestFit="1" customWidth="1"/>
    <col min="6" max="6" width="4" customWidth="1"/>
    <col min="7" max="7" width="15.28515625" bestFit="1" customWidth="1"/>
    <col min="8" max="8" width="3.85546875" customWidth="1"/>
    <col min="9" max="9" width="15.140625" customWidth="1"/>
    <col min="10" max="10" width="3.28515625" customWidth="1"/>
    <col min="11" max="11" width="16.8554687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5.85546875" customWidth="1"/>
    <col min="20" max="20" width="3.5703125" customWidth="1"/>
    <col min="21" max="21" width="16.28515625" bestFit="1" customWidth="1"/>
    <col min="23" max="23" width="16.5703125" bestFit="1" customWidth="1"/>
    <col min="24" max="24" width="16.28515625" bestFit="1" customWidth="1"/>
  </cols>
  <sheetData>
    <row r="1" spans="1:23" ht="36" customHeight="1">
      <c r="A1" s="142" t="s">
        <v>42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</row>
    <row r="3" spans="1:23">
      <c r="A3" s="22" t="s">
        <v>19</v>
      </c>
    </row>
    <row r="4" spans="1:23">
      <c r="A4" s="22"/>
    </row>
    <row r="5" spans="1:23">
      <c r="A5" s="22"/>
      <c r="I5" s="18" t="s">
        <v>81</v>
      </c>
      <c r="K5" s="18" t="s">
        <v>81</v>
      </c>
      <c r="M5" s="18" t="s">
        <v>79</v>
      </c>
      <c r="O5" s="18" t="s">
        <v>79</v>
      </c>
    </row>
    <row r="6" spans="1:23">
      <c r="I6" s="18" t="s">
        <v>12</v>
      </c>
      <c r="K6" s="55" t="s">
        <v>13</v>
      </c>
      <c r="M6" s="18" t="s">
        <v>12</v>
      </c>
      <c r="O6" s="55" t="s">
        <v>13</v>
      </c>
    </row>
    <row r="7" spans="1:23">
      <c r="I7" s="18" t="s">
        <v>13</v>
      </c>
      <c r="K7" s="55" t="s">
        <v>14</v>
      </c>
      <c r="M7" s="18" t="s">
        <v>13</v>
      </c>
      <c r="O7" s="55" t="s">
        <v>14</v>
      </c>
    </row>
    <row r="8" spans="1:23">
      <c r="A8" s="18" t="s">
        <v>13</v>
      </c>
      <c r="B8" s="18"/>
      <c r="C8" s="18"/>
      <c r="D8" s="18"/>
      <c r="E8" s="18"/>
      <c r="F8" s="18"/>
      <c r="G8" s="18"/>
      <c r="H8" s="17"/>
      <c r="I8" s="18" t="s">
        <v>10</v>
      </c>
      <c r="K8" s="55" t="s">
        <v>15</v>
      </c>
      <c r="M8" s="18" t="s">
        <v>10</v>
      </c>
      <c r="O8" s="55" t="s">
        <v>15</v>
      </c>
    </row>
    <row r="9" spans="1:23">
      <c r="A9" s="23" t="s">
        <v>17</v>
      </c>
      <c r="I9" s="69">
        <v>456725</v>
      </c>
      <c r="K9" s="70">
        <v>9.7000679999999998E-4</v>
      </c>
      <c r="M9" s="69">
        <v>419845</v>
      </c>
      <c r="O9" s="70">
        <v>9.4223400000000002E-4</v>
      </c>
    </row>
    <row r="10" spans="1:23">
      <c r="A10" s="23"/>
      <c r="I10" s="24"/>
      <c r="K10" s="25"/>
    </row>
    <row r="11" spans="1:23">
      <c r="A11" s="23"/>
      <c r="I11" s="24"/>
      <c r="K11" s="25"/>
    </row>
    <row r="12" spans="1:23">
      <c r="A12" s="23"/>
      <c r="I12" s="24"/>
      <c r="K12" s="25"/>
    </row>
    <row r="13" spans="1:23" ht="15.75" thickBot="1">
      <c r="A13" s="22" t="s">
        <v>20</v>
      </c>
    </row>
    <row r="14" spans="1:23">
      <c r="A14" s="31"/>
      <c r="B14" s="32"/>
      <c r="C14" s="33"/>
      <c r="D14" s="33"/>
      <c r="E14" s="139" t="s">
        <v>2</v>
      </c>
      <c r="F14" s="140"/>
      <c r="G14" s="140"/>
      <c r="H14" s="140"/>
      <c r="I14" s="140"/>
      <c r="J14" s="140"/>
      <c r="K14" s="141"/>
      <c r="L14" s="34"/>
      <c r="M14" s="139" t="s">
        <v>3</v>
      </c>
      <c r="N14" s="140"/>
      <c r="O14" s="140"/>
      <c r="P14" s="140"/>
      <c r="Q14" s="140"/>
      <c r="R14" s="140"/>
      <c r="S14" s="141"/>
      <c r="T14" s="33"/>
      <c r="U14" s="33"/>
      <c r="V14" s="33"/>
      <c r="W14" s="35"/>
    </row>
    <row r="15" spans="1:23" ht="18" customHeight="1">
      <c r="A15" s="36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37"/>
    </row>
    <row r="16" spans="1:23" ht="90" customHeight="1">
      <c r="A16" s="36"/>
      <c r="C16" s="13"/>
      <c r="D16" s="7"/>
      <c r="E16" s="19" t="s">
        <v>7</v>
      </c>
      <c r="F16" s="7"/>
      <c r="G16" s="19" t="s">
        <v>5</v>
      </c>
      <c r="H16" s="13"/>
      <c r="I16" s="13" t="s">
        <v>4</v>
      </c>
      <c r="J16" s="13"/>
      <c r="K16" s="19" t="s">
        <v>6</v>
      </c>
      <c r="L16" s="7"/>
      <c r="M16" s="19" t="s">
        <v>7</v>
      </c>
      <c r="N16" s="7"/>
      <c r="O16" s="19" t="s">
        <v>5</v>
      </c>
      <c r="P16" s="7"/>
      <c r="Q16" s="19" t="s">
        <v>4</v>
      </c>
      <c r="R16" s="7"/>
      <c r="S16" s="19" t="s">
        <v>8</v>
      </c>
      <c r="T16" s="7"/>
      <c r="U16" s="19" t="s">
        <v>9</v>
      </c>
      <c r="V16" s="19"/>
      <c r="W16" s="38" t="s">
        <v>84</v>
      </c>
    </row>
    <row r="17" spans="1:26" ht="15.75" thickBot="1">
      <c r="A17" s="36" t="s">
        <v>82</v>
      </c>
      <c r="C17" s="116"/>
      <c r="D17" s="7"/>
      <c r="E17" s="65"/>
      <c r="G17" s="65">
        <v>906564914</v>
      </c>
      <c r="H17" s="125"/>
      <c r="I17" s="65">
        <v>116363077</v>
      </c>
      <c r="K17" s="28">
        <f>SUM(E17:I17)</f>
        <v>1022927991</v>
      </c>
      <c r="M17" s="66">
        <v>2480636220</v>
      </c>
      <c r="O17" s="67">
        <v>0</v>
      </c>
      <c r="Q17" s="65">
        <v>45907364</v>
      </c>
      <c r="S17" s="28">
        <f>SUM(M17:Q17)</f>
        <v>2526543584</v>
      </c>
      <c r="U17" s="28">
        <v>-40819594</v>
      </c>
      <c r="V17" s="15"/>
      <c r="W17" s="68">
        <v>-78977973</v>
      </c>
    </row>
    <row r="18" spans="1:26" ht="15.75" thickTop="1">
      <c r="A18" s="36"/>
      <c r="C18" s="12"/>
      <c r="E18" s="12"/>
      <c r="F18" s="12"/>
      <c r="G18" s="12"/>
      <c r="H18" s="12"/>
      <c r="I18" s="12"/>
      <c r="K18" s="14"/>
      <c r="M18" s="12"/>
      <c r="S18" s="14"/>
      <c r="U18" s="14"/>
      <c r="V18" s="14"/>
      <c r="W18" s="37"/>
    </row>
    <row r="19" spans="1:26">
      <c r="A19" s="36"/>
      <c r="D19" s="16"/>
      <c r="U19" s="11"/>
      <c r="V19" s="11"/>
      <c r="W19" s="37"/>
    </row>
    <row r="20" spans="1:26">
      <c r="A20" s="39" t="str">
        <f>A9</f>
        <v>Employer A</v>
      </c>
      <c r="B20" s="21" t="s">
        <v>18</v>
      </c>
      <c r="C20" s="15"/>
      <c r="D20" s="15"/>
      <c r="E20" s="15">
        <f>ROUND((E17*$O$9),0)</f>
        <v>0</v>
      </c>
      <c r="F20" s="15"/>
      <c r="G20" s="15">
        <f>ROUND((G17*$O$9),0)</f>
        <v>854196</v>
      </c>
      <c r="H20" s="15"/>
      <c r="I20" s="15">
        <f>ROUND((I17*$O$9),0)</f>
        <v>109641</v>
      </c>
      <c r="J20" s="15"/>
      <c r="K20" s="15">
        <f>ROUND((K17*$O$9),0)</f>
        <v>963838</v>
      </c>
      <c r="L20" s="15"/>
      <c r="M20" s="15">
        <f>ROUND((M17*$O$9),0)</f>
        <v>2337340</v>
      </c>
      <c r="N20" s="15"/>
      <c r="O20" s="15">
        <f>ROUND((O17*$O$9),0)</f>
        <v>0</v>
      </c>
      <c r="P20" s="15"/>
      <c r="Q20" s="15">
        <f>ROUND((Q17*$O$9),0)</f>
        <v>43255</v>
      </c>
      <c r="R20" s="15"/>
      <c r="S20" s="15">
        <f>ROUND((S17*$O$9),0)</f>
        <v>2380595</v>
      </c>
      <c r="T20" s="15"/>
      <c r="U20" s="15">
        <f>ROUND((U17*$O$9),0)</f>
        <v>-38462</v>
      </c>
      <c r="V20" s="15"/>
      <c r="W20" s="40">
        <f>ROUND((W17*$O$9),0)</f>
        <v>-74416</v>
      </c>
    </row>
    <row r="21" spans="1:26">
      <c r="A21" s="36"/>
      <c r="U21" s="15"/>
      <c r="V21" s="15"/>
      <c r="W21" s="37"/>
    </row>
    <row r="22" spans="1:26">
      <c r="A22" s="36"/>
      <c r="C22" s="13"/>
      <c r="E22" s="27"/>
      <c r="G22" s="27"/>
      <c r="H22" s="27"/>
      <c r="I22" s="27"/>
      <c r="K22" s="26"/>
      <c r="U22" s="15"/>
      <c r="V22" s="15"/>
      <c r="W22" s="37"/>
    </row>
    <row r="23" spans="1:26" ht="15.75" thickBot="1">
      <c r="A23" s="36" t="s">
        <v>83</v>
      </c>
      <c r="C23" s="11"/>
      <c r="E23" s="65">
        <v>906261627</v>
      </c>
      <c r="G23" s="65">
        <v>642135647</v>
      </c>
      <c r="H23" s="125"/>
      <c r="I23" s="65">
        <v>433119600</v>
      </c>
      <c r="K23" s="28">
        <f>SUM(E23:J23)</f>
        <v>1981516874</v>
      </c>
      <c r="M23" s="65">
        <v>0</v>
      </c>
      <c r="O23" s="124">
        <v>0</v>
      </c>
      <c r="Q23" s="65">
        <v>17580028</v>
      </c>
      <c r="S23" s="28">
        <f>SUM(M23:Q23)</f>
        <v>17580028</v>
      </c>
      <c r="U23" s="28">
        <f>1021030804</f>
        <v>1021030804</v>
      </c>
      <c r="V23" s="15"/>
      <c r="W23" s="123">
        <v>3938758060</v>
      </c>
      <c r="X23" s="11"/>
      <c r="Z23" s="11"/>
    </row>
    <row r="24" spans="1:26" ht="15.75" thickTop="1">
      <c r="A24" s="36"/>
      <c r="U24" s="15"/>
      <c r="V24" s="15"/>
      <c r="W24" s="37"/>
    </row>
    <row r="25" spans="1:26">
      <c r="A25" s="39" t="s">
        <v>50</v>
      </c>
      <c r="B25" s="21"/>
      <c r="C25" s="15"/>
      <c r="E25" s="15">
        <f>ROUND((E23*$K$9),0)</f>
        <v>879080</v>
      </c>
      <c r="G25" s="15">
        <f>ROUND((G23*$K$9),0)</f>
        <v>622876</v>
      </c>
      <c r="H25" s="15"/>
      <c r="I25" s="15">
        <f>ROUND((I23*$K$9),0)</f>
        <v>420129</v>
      </c>
      <c r="K25" s="15">
        <f>ROUND((K23*$K$9),0)</f>
        <v>1922085</v>
      </c>
      <c r="M25" s="15">
        <f>ROUND((M23*$K$9),0)</f>
        <v>0</v>
      </c>
      <c r="O25" s="15">
        <f>ROUND((O23*$K$9),0)</f>
        <v>0</v>
      </c>
      <c r="Q25" s="15">
        <f>ROUND((Q23*$K$9),0)</f>
        <v>17053</v>
      </c>
      <c r="S25" s="15">
        <f>ROUND((S23*$K$9),0)</f>
        <v>17053</v>
      </c>
      <c r="U25" s="15">
        <f>ROUND((U23*$K$9),0)</f>
        <v>990407</v>
      </c>
      <c r="V25" s="15"/>
      <c r="W25" s="40">
        <f>ROUND((W23*$K$9),0)</f>
        <v>3820622</v>
      </c>
      <c r="X25" s="15"/>
    </row>
    <row r="26" spans="1:26">
      <c r="A26" s="36"/>
      <c r="U26" s="15"/>
      <c r="V26" s="15"/>
      <c r="W26" s="37"/>
    </row>
    <row r="27" spans="1:26">
      <c r="A27" s="36"/>
      <c r="U27" s="15"/>
      <c r="V27" s="15"/>
      <c r="W27" s="41"/>
    </row>
    <row r="28" spans="1:26">
      <c r="A28" s="36" t="s">
        <v>26</v>
      </c>
      <c r="E28" s="15">
        <f>E25-E20</f>
        <v>879080</v>
      </c>
      <c r="G28" s="15">
        <f>G25-G20</f>
        <v>-231320</v>
      </c>
      <c r="H28" s="15"/>
      <c r="I28" s="15">
        <f>+I25-I20</f>
        <v>310488</v>
      </c>
      <c r="J28" s="15"/>
      <c r="K28" s="15">
        <f>+K25-K20</f>
        <v>958247</v>
      </c>
      <c r="M28" s="15">
        <f>M25-M20</f>
        <v>-2337340</v>
      </c>
      <c r="O28" s="15">
        <f>+O25-O20</f>
        <v>0</v>
      </c>
      <c r="Q28" s="15">
        <f>Q25-Q20</f>
        <v>-26202</v>
      </c>
      <c r="S28" s="15"/>
      <c r="U28" s="15">
        <f>+U25-U20</f>
        <v>1028869</v>
      </c>
      <c r="V28" s="15"/>
      <c r="W28" s="40">
        <f>+W25-W20</f>
        <v>3895038</v>
      </c>
    </row>
    <row r="29" spans="1:26">
      <c r="A29" s="36"/>
      <c r="U29" s="15"/>
      <c r="V29" s="15"/>
      <c r="W29" s="37"/>
    </row>
    <row r="30" spans="1:26" ht="15.75" thickBot="1">
      <c r="A30" s="42"/>
      <c r="B30" s="43"/>
      <c r="C30" s="43"/>
      <c r="D30" s="43"/>
      <c r="E30" s="43"/>
      <c r="F30" s="43"/>
      <c r="G30" s="59"/>
      <c r="H30" s="59"/>
      <c r="I30" s="59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/>
    </row>
    <row r="31" spans="1:26">
      <c r="M31" s="15"/>
    </row>
    <row r="33" spans="1:23" ht="15.75" thickBot="1">
      <c r="A33" s="22" t="s">
        <v>51</v>
      </c>
    </row>
    <row r="34" spans="1:23">
      <c r="A34" s="31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5"/>
    </row>
    <row r="35" spans="1:23">
      <c r="A35" s="36"/>
      <c r="E35" s="18" t="s">
        <v>79</v>
      </c>
      <c r="G35" s="18" t="s">
        <v>79</v>
      </c>
      <c r="I35" s="18" t="s">
        <v>81</v>
      </c>
      <c r="Q35" s="37"/>
    </row>
    <row r="36" spans="1:23">
      <c r="A36" s="36"/>
      <c r="E36" s="58" t="s">
        <v>37</v>
      </c>
      <c r="G36" s="58" t="s">
        <v>15</v>
      </c>
      <c r="I36" s="58" t="s">
        <v>15</v>
      </c>
      <c r="Q36" s="37"/>
    </row>
    <row r="37" spans="1:23">
      <c r="A37" s="36"/>
      <c r="E37" s="58" t="s">
        <v>38</v>
      </c>
      <c r="G37" s="58" t="s">
        <v>39</v>
      </c>
      <c r="I37" s="58" t="s">
        <v>39</v>
      </c>
      <c r="K37" s="58" t="s">
        <v>40</v>
      </c>
      <c r="M37" s="58" t="s">
        <v>41</v>
      </c>
      <c r="O37" s="58" t="s">
        <v>1</v>
      </c>
      <c r="Q37" s="60" t="s">
        <v>44</v>
      </c>
      <c r="W37" s="15"/>
    </row>
    <row r="38" spans="1:23">
      <c r="A38" s="36"/>
      <c r="C38" s="4" t="s">
        <v>57</v>
      </c>
      <c r="E38" s="11">
        <f>+I17</f>
        <v>116363077</v>
      </c>
      <c r="G38" s="49">
        <f>E38*O9</f>
        <v>109641.247494018</v>
      </c>
      <c r="I38" s="49">
        <f>E38*K9</f>
        <v>112872.97595892359</v>
      </c>
      <c r="K38" s="49">
        <f>I38-G38</f>
        <v>3231.7284649055946</v>
      </c>
      <c r="M38" s="64">
        <f>IF(K38&gt;0,K38,)</f>
        <v>3231.7284649055946</v>
      </c>
      <c r="N38" s="64"/>
      <c r="O38" s="64">
        <f>IF(K38&lt;0,-K38,)</f>
        <v>0</v>
      </c>
      <c r="Q38" s="37"/>
    </row>
    <row r="39" spans="1:23">
      <c r="A39" s="36"/>
      <c r="C39" s="4" t="s">
        <v>23</v>
      </c>
      <c r="E39" s="49">
        <f>G17</f>
        <v>906564914</v>
      </c>
      <c r="G39" s="49">
        <f>E39*O9</f>
        <v>854196.28517787601</v>
      </c>
      <c r="H39" s="49"/>
      <c r="I39" s="49">
        <f>E39*K9</f>
        <v>879374.13122141524</v>
      </c>
      <c r="J39" s="49"/>
      <c r="K39" s="49">
        <f>I39-G39</f>
        <v>25177.846043539234</v>
      </c>
      <c r="L39" s="49"/>
      <c r="M39" s="64">
        <f>IF(K39&gt;0,K39,)</f>
        <v>25177.846043539234</v>
      </c>
      <c r="N39" s="64"/>
      <c r="O39" s="64">
        <f>IF(K39&lt;0,-K39,)</f>
        <v>0</v>
      </c>
      <c r="Q39" s="37"/>
      <c r="W39" s="15"/>
    </row>
    <row r="40" spans="1:23">
      <c r="A40" s="36"/>
      <c r="C40" s="4" t="s">
        <v>64</v>
      </c>
      <c r="E40" s="49">
        <f>M17</f>
        <v>2480636220</v>
      </c>
      <c r="G40" s="49">
        <f>E40*O9</f>
        <v>2337339.78811548</v>
      </c>
      <c r="H40" s="49"/>
      <c r="I40" s="49">
        <f>E40*K9</f>
        <v>2406234.0017262958</v>
      </c>
      <c r="J40" s="49"/>
      <c r="K40" s="49">
        <f>I40-G40</f>
        <v>68894.213610815816</v>
      </c>
      <c r="L40" s="49"/>
      <c r="M40" s="64">
        <f>IF(K40&lt;0,-K40,)</f>
        <v>0</v>
      </c>
      <c r="N40" s="64"/>
      <c r="O40" s="64">
        <f>IF(K40&gt;0,K40,)</f>
        <v>68894.213610815816</v>
      </c>
      <c r="Q40" s="37"/>
    </row>
    <row r="41" spans="1:23">
      <c r="A41" s="36"/>
      <c r="C41" s="4" t="s">
        <v>36</v>
      </c>
      <c r="E41" s="49">
        <f>Q17</f>
        <v>45907364</v>
      </c>
      <c r="G41" s="49">
        <f>E41*O9</f>
        <v>43255.479211176003</v>
      </c>
      <c r="H41" s="49"/>
      <c r="I41" s="49">
        <f>E41*K9</f>
        <v>44530.455250075196</v>
      </c>
      <c r="J41" s="49"/>
      <c r="K41" s="49">
        <f>I41-G41</f>
        <v>1274.9760388991926</v>
      </c>
      <c r="L41" s="49"/>
      <c r="M41" s="64">
        <f>IF(K41&lt;0,-K41,)</f>
        <v>0</v>
      </c>
      <c r="N41" s="64"/>
      <c r="O41" s="64">
        <f>IF(K41&gt;0,K41,)</f>
        <v>1274.9760388991926</v>
      </c>
      <c r="Q41" s="37"/>
      <c r="W41" s="15"/>
    </row>
    <row r="42" spans="1:23">
      <c r="A42" s="36"/>
      <c r="C42" s="4" t="s">
        <v>58</v>
      </c>
      <c r="E42" s="49">
        <f>W17</f>
        <v>-78977973</v>
      </c>
      <c r="G42" s="49">
        <f>E42*O9</f>
        <v>-74415.731411682005</v>
      </c>
      <c r="H42" s="49"/>
      <c r="I42" s="49">
        <f>E42*K9</f>
        <v>-76609.1708602164</v>
      </c>
      <c r="J42" s="49"/>
      <c r="K42" s="49">
        <f>I42-G42</f>
        <v>-2193.4394485343946</v>
      </c>
      <c r="L42" s="49"/>
      <c r="M42" s="64">
        <f>IF(K42&lt;0,-K42,)</f>
        <v>2193.4394485343946</v>
      </c>
      <c r="N42" s="64"/>
      <c r="O42" s="64">
        <f>IF(K42&gt;0,K42,)</f>
        <v>0</v>
      </c>
      <c r="Q42" s="37"/>
    </row>
    <row r="43" spans="1:23">
      <c r="A43" s="36"/>
      <c r="C43" s="4" t="s">
        <v>35</v>
      </c>
      <c r="G43" s="49"/>
      <c r="H43" s="49"/>
      <c r="I43" s="49"/>
      <c r="J43" s="49"/>
      <c r="K43" s="49"/>
      <c r="L43" s="49"/>
      <c r="M43" s="64">
        <f>+O40+O41+O42-M38-M39</f>
        <v>41759.615141270173</v>
      </c>
      <c r="N43" s="64"/>
      <c r="O43" s="64">
        <f>-M42</f>
        <v>-2193.4394485343946</v>
      </c>
      <c r="Q43" s="37" t="s">
        <v>85</v>
      </c>
      <c r="S43" s="14"/>
      <c r="U43" s="14"/>
    </row>
    <row r="44" spans="1:23">
      <c r="A44" s="36"/>
      <c r="Q44" s="150">
        <f>+M43+O43</f>
        <v>39566.175692735778</v>
      </c>
      <c r="U44" s="14"/>
    </row>
    <row r="45" spans="1:23" ht="15.75" thickBo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61">
        <f>SUM(M38:M43)</f>
        <v>72362.629098249396</v>
      </c>
      <c r="N45" s="43"/>
      <c r="O45" s="61">
        <f>SUM(O38:O43)</f>
        <v>67975.750201180606</v>
      </c>
      <c r="P45" s="43"/>
      <c r="Q45" s="149">
        <f>+M45-O45</f>
        <v>4386.8788970687892</v>
      </c>
    </row>
  </sheetData>
  <mergeCells count="3">
    <mergeCell ref="M14:S14"/>
    <mergeCell ref="A1:Q1"/>
    <mergeCell ref="E14:K14"/>
  </mergeCells>
  <pageMargins left="0.25" right="0.25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Q39"/>
  <sheetViews>
    <sheetView zoomScale="80" zoomScaleNormal="80" workbookViewId="0">
      <selection activeCell="H13" sqref="H13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20.85546875" customWidth="1"/>
    <col min="13" max="13" width="5.140625" customWidth="1"/>
    <col min="14" max="14" width="5.85546875" customWidth="1"/>
    <col min="15" max="15" width="8.5703125" customWidth="1"/>
    <col min="16" max="16" width="13" bestFit="1" customWidth="1"/>
    <col min="17" max="17" width="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7" ht="15" customHeight="1">
      <c r="A1" s="143" t="s">
        <v>43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</row>
    <row r="2" spans="1:17" ht="15.75">
      <c r="A2" s="117" t="s">
        <v>74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</row>
    <row r="3" spans="1:17" ht="15.75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17" ht="15.75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</row>
    <row r="5" spans="1:17" ht="15.75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</row>
    <row r="6" spans="1:17">
      <c r="B6" s="1" t="s">
        <v>16</v>
      </c>
      <c r="C6" s="3"/>
      <c r="D6" s="20" t="str">
        <f>Input!A9</f>
        <v>Employer A</v>
      </c>
    </row>
    <row r="7" spans="1:17">
      <c r="B7" s="8"/>
      <c r="D7" s="22"/>
    </row>
    <row r="8" spans="1:17">
      <c r="B8" s="8"/>
      <c r="D8" s="22"/>
    </row>
    <row r="9" spans="1:17">
      <c r="G9" s="4"/>
      <c r="H9" s="4"/>
    </row>
    <row r="10" spans="1:17">
      <c r="G10" s="4"/>
      <c r="H10" s="4"/>
      <c r="J10" s="2"/>
    </row>
    <row r="11" spans="1:17">
      <c r="G11" s="4"/>
      <c r="H11" s="4"/>
      <c r="J11" s="2"/>
    </row>
    <row r="12" spans="1:17">
      <c r="B12" s="119" t="s">
        <v>86</v>
      </c>
      <c r="C12" s="1"/>
    </row>
    <row r="13" spans="1:17">
      <c r="B13" t="s">
        <v>11</v>
      </c>
      <c r="C13" s="8"/>
      <c r="G13" s="73" t="str">
        <f>IF(Input!W28&lt;0,-Input!W28,"")</f>
        <v/>
      </c>
      <c r="H13" s="126">
        <f>IF(Input!W28&lt;0,"",Input!W28)</f>
        <v>3895038</v>
      </c>
      <c r="I13" s="9"/>
      <c r="J13" s="2" t="s">
        <v>75</v>
      </c>
      <c r="K13" s="29"/>
    </row>
    <row r="14" spans="1:17">
      <c r="B14" t="s">
        <v>52</v>
      </c>
      <c r="C14" s="8"/>
      <c r="G14" s="73">
        <f>IF(Input!E28&lt;0,"",Input!E28)</f>
        <v>879080</v>
      </c>
      <c r="H14" s="126" t="str">
        <f>IF(Input!E28&lt;0,-Input!E28,"")</f>
        <v/>
      </c>
      <c r="I14" s="9"/>
      <c r="J14" s="2" t="s">
        <v>24</v>
      </c>
      <c r="K14" s="14"/>
    </row>
    <row r="15" spans="1:17">
      <c r="B15" t="s">
        <v>53</v>
      </c>
      <c r="C15" s="8"/>
      <c r="G15" s="73" t="str">
        <f>IF(Input!G28&lt;0,"",Input!G28)</f>
        <v/>
      </c>
      <c r="H15" s="126">
        <f>IF(Input!G28&lt;0,-Input!G28,"")</f>
        <v>231320</v>
      </c>
      <c r="I15" s="9"/>
      <c r="J15" s="2" t="s">
        <v>24</v>
      </c>
      <c r="K15" s="30"/>
    </row>
    <row r="16" spans="1:17">
      <c r="B16" t="s">
        <v>87</v>
      </c>
      <c r="C16" s="8"/>
      <c r="G16" s="73">
        <f>IF(Input!I28&lt;0,"",Input!I28)</f>
        <v>310488</v>
      </c>
      <c r="H16" s="126" t="str">
        <f>IF(Input!I28&lt;0,-Input!I28,"")</f>
        <v/>
      </c>
      <c r="I16" s="9"/>
      <c r="J16" s="2" t="s">
        <v>24</v>
      </c>
      <c r="K16" s="30"/>
    </row>
    <row r="17" spans="2:16">
      <c r="B17" t="s">
        <v>54</v>
      </c>
      <c r="C17" s="8"/>
      <c r="G17" s="126">
        <f>IF(Input!M28&lt;0,-Input!M28,"")</f>
        <v>2337340</v>
      </c>
      <c r="H17" s="73" t="str">
        <f>IF(Input!M28&lt;0,"",Input!M28)</f>
        <v/>
      </c>
      <c r="I17" s="9"/>
      <c r="J17" s="2" t="s">
        <v>80</v>
      </c>
    </row>
    <row r="18" spans="2:16">
      <c r="B18" t="s">
        <v>55</v>
      </c>
      <c r="C18" s="8"/>
      <c r="G18" s="126">
        <f>IF(Input!Q28&lt;0,-Input!Q28,"")</f>
        <v>26202</v>
      </c>
      <c r="H18" s="73" t="str">
        <f>IF(Input!Q28&lt;0,"",Input!Q28)</f>
        <v/>
      </c>
      <c r="I18" s="9"/>
      <c r="J18" s="2" t="s">
        <v>80</v>
      </c>
      <c r="P18" s="5"/>
    </row>
    <row r="19" spans="2:16">
      <c r="B19" t="s">
        <v>56</v>
      </c>
      <c r="G19" s="73">
        <f>IF(Input!U25&lt;0,"",Input!U25)</f>
        <v>990407</v>
      </c>
      <c r="H19" s="73" t="str">
        <f>IF(Input!U25&lt;0,-Input!U25,"")</f>
        <v/>
      </c>
      <c r="J19" s="2" t="s">
        <v>77</v>
      </c>
      <c r="P19" s="14"/>
    </row>
    <row r="20" spans="2:16">
      <c r="B20" t="s">
        <v>21</v>
      </c>
      <c r="G20" s="127" t="str">
        <f>IF(Input!I9&lt;0,-Input!I9,"")</f>
        <v/>
      </c>
      <c r="H20" s="127">
        <f>IF(Input!I9&lt;0,"",Input!I9)</f>
        <v>456725</v>
      </c>
      <c r="J20" s="2" t="s">
        <v>25</v>
      </c>
      <c r="P20" s="14"/>
    </row>
    <row r="21" spans="2:16">
      <c r="B21" s="63" t="s">
        <v>45</v>
      </c>
      <c r="C21" s="63"/>
      <c r="D21" s="63"/>
      <c r="G21" s="57"/>
      <c r="H21" s="127"/>
    </row>
    <row r="22" spans="2:16">
      <c r="G22" s="127"/>
      <c r="H22" s="127"/>
    </row>
    <row r="23" spans="2:16">
      <c r="B23" t="s">
        <v>22</v>
      </c>
      <c r="G23" s="56"/>
      <c r="H23" s="128"/>
      <c r="J23" s="2"/>
    </row>
    <row r="24" spans="2:16">
      <c r="B24" t="s">
        <v>0</v>
      </c>
      <c r="G24" s="129"/>
      <c r="H24" s="87">
        <f>+G23</f>
        <v>0</v>
      </c>
    </row>
    <row r="25" spans="2:16">
      <c r="B25" s="10"/>
      <c r="G25" s="9">
        <f>SUM(G13:G22)</f>
        <v>4543517</v>
      </c>
      <c r="H25" s="9">
        <f>SUM(H13:H22)</f>
        <v>4583083</v>
      </c>
      <c r="J25" s="15">
        <f>IF(G25&gt;H25,G25-H25,H25-G25)</f>
        <v>39566</v>
      </c>
      <c r="K25" s="45" t="s">
        <v>46</v>
      </c>
    </row>
    <row r="26" spans="2:16">
      <c r="B26" s="2"/>
      <c r="G26" s="4"/>
      <c r="H26" s="4"/>
      <c r="K26" s="45" t="s">
        <v>47</v>
      </c>
    </row>
    <row r="27" spans="2:16">
      <c r="G27" s="4"/>
      <c r="H27" s="4"/>
      <c r="K27" s="45" t="s">
        <v>48</v>
      </c>
    </row>
    <row r="28" spans="2:16">
      <c r="J28" s="73">
        <f>+Input!Q44</f>
        <v>39566.175692735778</v>
      </c>
      <c r="K28" s="151" t="s">
        <v>88</v>
      </c>
    </row>
    <row r="29" spans="2:16">
      <c r="J29" s="72">
        <f>+J25-J28</f>
        <v>-0.17569273577828426</v>
      </c>
      <c r="K29" s="2" t="s">
        <v>89</v>
      </c>
    </row>
    <row r="30" spans="2:16">
      <c r="J30" s="14"/>
    </row>
    <row r="33" spans="10:10">
      <c r="J33" s="14"/>
    </row>
    <row r="34" spans="10:10">
      <c r="J34" s="14"/>
    </row>
    <row r="39" spans="10:10">
      <c r="J39" s="130"/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M11" sqref="M11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2" max="13" width="12.7109375" bestFit="1" customWidth="1"/>
    <col min="14" max="14" width="10.28515625" bestFit="1" customWidth="1"/>
  </cols>
  <sheetData>
    <row r="1" spans="1:14" ht="22.5">
      <c r="A1" s="146" t="s">
        <v>90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</row>
    <row r="2" spans="1:14" ht="22.5">
      <c r="A2" s="146" t="s">
        <v>91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4">
      <c r="A3" s="148" t="s">
        <v>61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</row>
    <row r="9" spans="1:14">
      <c r="K9" s="147" t="s">
        <v>58</v>
      </c>
      <c r="L9" s="144"/>
      <c r="M9" s="144"/>
      <c r="N9" s="144"/>
    </row>
    <row r="10" spans="1:14">
      <c r="I10" s="46"/>
      <c r="K10" s="29"/>
      <c r="L10" s="50"/>
      <c r="M10" s="29">
        <f>+Input!W20</f>
        <v>-74416</v>
      </c>
      <c r="N10" s="74" t="s">
        <v>60</v>
      </c>
    </row>
    <row r="11" spans="1:14">
      <c r="I11" s="46"/>
      <c r="K11" s="29"/>
      <c r="L11" s="51" t="str">
        <f>+'JE''s'!G13</f>
        <v/>
      </c>
      <c r="M11" s="86">
        <f>+'JE''s'!H13</f>
        <v>3895038</v>
      </c>
      <c r="N11" s="86" t="s">
        <v>33</v>
      </c>
    </row>
    <row r="12" spans="1:14">
      <c r="I12" s="46"/>
      <c r="K12" s="29"/>
      <c r="L12" s="48"/>
      <c r="M12" s="29"/>
      <c r="N12" s="29"/>
    </row>
    <row r="13" spans="1:14">
      <c r="I13" s="46"/>
      <c r="K13" s="52"/>
      <c r="L13" s="53"/>
      <c r="M13" s="52"/>
      <c r="N13" s="52"/>
    </row>
    <row r="14" spans="1:14">
      <c r="I14" s="46"/>
      <c r="K14" s="29"/>
      <c r="L14" s="51"/>
      <c r="M14" s="80">
        <f>SUM(M10:M13)-SUM(L10:L13)</f>
        <v>3820622</v>
      </c>
      <c r="N14" s="29"/>
    </row>
    <row r="15" spans="1:14">
      <c r="I15" s="46"/>
      <c r="K15" s="29"/>
      <c r="L15" s="48"/>
      <c r="M15" s="29"/>
      <c r="N15" s="29"/>
    </row>
    <row r="16" spans="1:14">
      <c r="I16" s="46"/>
      <c r="K16" s="29"/>
      <c r="L16" s="48"/>
      <c r="M16" s="29"/>
      <c r="N16" s="29"/>
    </row>
    <row r="17" spans="1:14">
      <c r="I17" s="46"/>
      <c r="K17" s="29"/>
      <c r="L17" s="48"/>
      <c r="M17" s="29"/>
      <c r="N17" s="29"/>
    </row>
    <row r="20" spans="1:14">
      <c r="A20" s="145" t="s">
        <v>27</v>
      </c>
      <c r="B20" s="145"/>
      <c r="C20" s="145"/>
      <c r="D20" s="145"/>
      <c r="E20" s="46"/>
      <c r="F20" s="145" t="s">
        <v>27</v>
      </c>
      <c r="G20" s="145"/>
      <c r="H20" s="145"/>
      <c r="I20" s="145"/>
      <c r="J20" s="46"/>
      <c r="K20" s="145" t="s">
        <v>27</v>
      </c>
      <c r="L20" s="145"/>
      <c r="M20" s="145"/>
      <c r="N20" s="145"/>
    </row>
    <row r="21" spans="1:14">
      <c r="A21" s="144" t="s">
        <v>28</v>
      </c>
      <c r="B21" s="144"/>
      <c r="C21" s="144"/>
      <c r="D21" s="144"/>
      <c r="E21" s="46"/>
      <c r="F21" s="144" t="s">
        <v>29</v>
      </c>
      <c r="G21" s="144"/>
      <c r="H21" s="144"/>
      <c r="I21" s="144"/>
      <c r="J21" s="46"/>
      <c r="K21" s="144" t="s">
        <v>30</v>
      </c>
      <c r="L21" s="144"/>
      <c r="M21" s="144"/>
      <c r="N21" s="144"/>
    </row>
    <row r="22" spans="1:14">
      <c r="A22" s="74" t="s">
        <v>60</v>
      </c>
      <c r="B22" s="120">
        <f>+Input!K20+Input!I9</f>
        <v>1420563</v>
      </c>
      <c r="C22" s="29"/>
      <c r="D22" s="29"/>
      <c r="E22" s="29"/>
      <c r="F22" s="29"/>
      <c r="G22" s="47"/>
      <c r="H22" s="29">
        <f>+Input!S20</f>
        <v>2380595</v>
      </c>
      <c r="I22" s="74" t="s">
        <v>60</v>
      </c>
      <c r="J22" s="29"/>
      <c r="K22" s="74" t="s">
        <v>33</v>
      </c>
      <c r="L22" s="50">
        <f>+'JE''s'!G19</f>
        <v>990407</v>
      </c>
      <c r="M22" s="29" t="str">
        <f>+'JE''s'!H19</f>
        <v/>
      </c>
      <c r="N22" s="62"/>
    </row>
    <row r="23" spans="1:14">
      <c r="A23" s="74" t="s">
        <v>33</v>
      </c>
      <c r="B23" s="51"/>
      <c r="C23" s="29">
        <f>+Input!I9</f>
        <v>456725</v>
      </c>
      <c r="D23" s="74" t="s">
        <v>33</v>
      </c>
      <c r="E23" s="29"/>
      <c r="F23" s="74" t="s">
        <v>33</v>
      </c>
      <c r="G23" s="51">
        <f>'JE''s'!G18</f>
        <v>26202</v>
      </c>
      <c r="H23" s="73" t="str">
        <f>+'JE''s'!H18</f>
        <v/>
      </c>
      <c r="I23" t="s">
        <v>33</v>
      </c>
      <c r="J23" s="29"/>
      <c r="K23" s="73"/>
      <c r="L23" s="51" t="str">
        <f>+'JE''s'!G20</f>
        <v/>
      </c>
      <c r="M23" s="29"/>
      <c r="N23" s="29"/>
    </row>
    <row r="24" spans="1:14">
      <c r="A24" s="74" t="s">
        <v>33</v>
      </c>
      <c r="B24" s="51" t="str">
        <f>+'JE''s'!G15</f>
        <v/>
      </c>
      <c r="C24" s="62">
        <f>+'JE''s'!H15</f>
        <v>231320</v>
      </c>
      <c r="D24" s="74"/>
      <c r="E24" s="29"/>
      <c r="F24" s="74" t="s">
        <v>33</v>
      </c>
      <c r="G24" s="51">
        <f>+'JE''s'!G17</f>
        <v>2337340</v>
      </c>
      <c r="H24" s="29" t="str">
        <f>+'JE''s'!H17</f>
        <v/>
      </c>
      <c r="I24" s="29"/>
      <c r="J24" s="29"/>
      <c r="K24" s="29"/>
      <c r="L24" s="48"/>
      <c r="M24" s="29"/>
      <c r="N24" s="29"/>
    </row>
    <row r="25" spans="1:14">
      <c r="A25" s="29"/>
      <c r="B25" s="48">
        <f>+'JE''s'!G14</f>
        <v>879080</v>
      </c>
      <c r="C25" s="29" t="str">
        <f>+'JE''s'!H14</f>
        <v/>
      </c>
      <c r="E25" s="29"/>
      <c r="F25" s="29"/>
      <c r="G25" s="48"/>
      <c r="J25" s="29"/>
      <c r="K25" s="29"/>
      <c r="L25" s="48"/>
      <c r="M25" s="29"/>
      <c r="N25" s="29"/>
    </row>
    <row r="26" spans="1:14">
      <c r="A26" s="29"/>
      <c r="B26" s="51">
        <f>+'JE''s'!G16</f>
        <v>310488</v>
      </c>
      <c r="C26" s="29" t="str">
        <f>+'JE''s'!H16</f>
        <v/>
      </c>
      <c r="D26" s="29"/>
      <c r="E26" s="29"/>
      <c r="F26" s="29"/>
      <c r="G26" s="48"/>
      <c r="H26" s="29"/>
      <c r="I26" s="29"/>
      <c r="J26" s="29"/>
      <c r="K26" s="52"/>
      <c r="L26" s="53"/>
      <c r="M26" s="52"/>
      <c r="N26" s="52"/>
    </row>
    <row r="27" spans="1:14">
      <c r="A27" s="29"/>
      <c r="B27" s="51"/>
      <c r="C27" s="29"/>
      <c r="D27" s="29"/>
      <c r="E27" s="29"/>
      <c r="F27" s="52"/>
      <c r="G27" s="53"/>
      <c r="H27" s="52"/>
      <c r="I27" s="52"/>
      <c r="J27" s="29"/>
      <c r="K27" s="29"/>
      <c r="L27" s="48">
        <f>+L22</f>
        <v>990407</v>
      </c>
      <c r="M27" s="80"/>
      <c r="N27" s="29"/>
    </row>
    <row r="28" spans="1:14">
      <c r="A28" s="52"/>
      <c r="B28" s="53"/>
      <c r="C28" s="77"/>
      <c r="D28" s="52"/>
      <c r="E28" s="29"/>
      <c r="F28" s="82"/>
      <c r="G28" s="81">
        <f>SUM(G22:G27)</f>
        <v>2363542</v>
      </c>
      <c r="H28" s="82">
        <f>SUM(H22:H27)</f>
        <v>2380595</v>
      </c>
      <c r="I28" s="82"/>
      <c r="J28" s="82"/>
      <c r="K28" s="82"/>
      <c r="L28" s="81"/>
      <c r="M28" s="82"/>
      <c r="N28" s="82"/>
    </row>
    <row r="29" spans="1:14">
      <c r="A29" s="29"/>
      <c r="B29" s="78">
        <f>SUM(B22:B28)</f>
        <v>2610131</v>
      </c>
      <c r="C29" s="79">
        <f>SUM(C22:C28)</f>
        <v>688045</v>
      </c>
      <c r="D29" s="76"/>
      <c r="E29" s="29"/>
      <c r="F29" s="82"/>
      <c r="G29" s="81"/>
      <c r="H29" s="82"/>
      <c r="I29" s="82"/>
      <c r="J29" s="82"/>
      <c r="K29" s="82"/>
      <c r="L29" s="81"/>
      <c r="M29" s="82"/>
      <c r="N29" s="82"/>
    </row>
    <row r="30" spans="1:14">
      <c r="A30" s="29"/>
      <c r="B30" s="81"/>
      <c r="C30" s="79"/>
      <c r="D30" s="49"/>
      <c r="E30" s="29"/>
      <c r="F30" s="29"/>
      <c r="G30" s="54"/>
      <c r="H30" s="29"/>
      <c r="I30" s="29"/>
      <c r="J30" s="29"/>
      <c r="K30" s="29"/>
      <c r="L30" s="54"/>
      <c r="M30" s="29"/>
      <c r="N30" s="29"/>
    </row>
    <row r="31" spans="1:14">
      <c r="A31" s="74" t="s">
        <v>62</v>
      </c>
      <c r="B31" s="80">
        <f>+B29-C29</f>
        <v>1922086</v>
      </c>
      <c r="C31" s="29"/>
      <c r="D31" s="29"/>
      <c r="E31" s="29"/>
      <c r="F31" s="29"/>
      <c r="G31" s="74" t="s">
        <v>62</v>
      </c>
      <c r="H31" s="80">
        <f>+H28-G28</f>
        <v>17053</v>
      </c>
      <c r="I31" s="29"/>
      <c r="J31" s="29"/>
      <c r="K31" s="29"/>
      <c r="L31" s="29"/>
      <c r="M31" s="29"/>
      <c r="N31" s="29"/>
    </row>
    <row r="37" spans="1:14">
      <c r="A37" s="144" t="s">
        <v>31</v>
      </c>
      <c r="B37" s="144"/>
      <c r="C37" s="144"/>
      <c r="D37" s="144"/>
      <c r="F37" s="144" t="s">
        <v>32</v>
      </c>
      <c r="G37" s="144"/>
      <c r="H37" s="144"/>
      <c r="I37" s="144"/>
      <c r="K37" s="145"/>
      <c r="L37" s="145"/>
      <c r="M37" s="145"/>
      <c r="N37" s="145"/>
    </row>
    <row r="38" spans="1:14">
      <c r="A38" s="29"/>
      <c r="B38" s="47" t="str">
        <f>+'JE''s'!G20</f>
        <v/>
      </c>
      <c r="C38" s="29">
        <f>+'JE''s'!H20</f>
        <v>456725</v>
      </c>
      <c r="D38" s="29"/>
      <c r="E38" s="29"/>
      <c r="F38" s="29"/>
      <c r="G38" s="50">
        <f>+'JE''s'!H20</f>
        <v>456725</v>
      </c>
      <c r="H38" s="29"/>
      <c r="I38" s="74"/>
      <c r="J38" s="29"/>
      <c r="K38" s="49"/>
      <c r="L38" s="83"/>
      <c r="M38" s="49"/>
      <c r="N38" s="49"/>
    </row>
    <row r="39" spans="1:14">
      <c r="A39" s="29"/>
      <c r="B39" s="48"/>
      <c r="C39" s="29"/>
      <c r="D39" s="29"/>
      <c r="E39" s="29"/>
      <c r="F39" s="29"/>
      <c r="G39" s="48"/>
      <c r="H39" s="29"/>
      <c r="I39" s="29"/>
      <c r="J39" s="29"/>
      <c r="K39" s="49"/>
      <c r="L39" s="54"/>
      <c r="M39" s="49"/>
      <c r="N39" s="49"/>
    </row>
    <row r="40" spans="1:14">
      <c r="A40" s="29"/>
      <c r="B40" s="48"/>
      <c r="C40" s="29"/>
      <c r="D40" s="29"/>
      <c r="E40" s="29"/>
      <c r="F40" s="29"/>
      <c r="G40" s="48"/>
      <c r="H40" s="29"/>
      <c r="I40" s="29"/>
      <c r="J40" s="29"/>
      <c r="K40" s="49"/>
      <c r="L40" s="83"/>
      <c r="M40" s="49"/>
      <c r="N40" s="49"/>
    </row>
    <row r="41" spans="1:14">
      <c r="A41" s="29"/>
      <c r="B41" s="48"/>
      <c r="C41" s="29"/>
      <c r="D41" s="29"/>
      <c r="E41" s="29"/>
      <c r="F41" s="52"/>
      <c r="G41" s="53"/>
      <c r="H41" s="52"/>
      <c r="I41" s="52"/>
      <c r="J41" s="29"/>
      <c r="K41" s="49"/>
      <c r="L41" s="54"/>
      <c r="M41" s="49"/>
      <c r="N41" s="49"/>
    </row>
    <row r="42" spans="1:14">
      <c r="A42" s="29"/>
      <c r="B42" s="48"/>
      <c r="C42" s="29"/>
      <c r="D42" s="29"/>
      <c r="E42" s="29"/>
      <c r="F42" s="29"/>
      <c r="G42" s="48">
        <f>SUM(G38:G41)</f>
        <v>456725</v>
      </c>
      <c r="H42" s="80">
        <f>SUM(H38:H41)</f>
        <v>0</v>
      </c>
      <c r="I42" s="29"/>
      <c r="J42" s="29"/>
      <c r="K42" s="49"/>
      <c r="L42" s="54"/>
      <c r="M42" s="49"/>
      <c r="N42" s="49"/>
    </row>
    <row r="43" spans="1:14">
      <c r="A43" s="29"/>
      <c r="B43" s="48"/>
      <c r="C43" s="29"/>
      <c r="D43" s="29"/>
      <c r="E43" s="29"/>
      <c r="F43" s="29"/>
      <c r="G43" s="48"/>
      <c r="H43" s="29"/>
      <c r="I43" s="29"/>
      <c r="J43" s="29"/>
      <c r="K43" s="49"/>
      <c r="L43" s="54"/>
      <c r="M43" s="49"/>
      <c r="N43" s="49"/>
    </row>
    <row r="44" spans="1:14">
      <c r="A44" s="29"/>
      <c r="B44" s="48"/>
      <c r="C44" s="29"/>
      <c r="D44" s="29"/>
      <c r="E44" s="29"/>
      <c r="F44" s="29"/>
      <c r="G44" s="48"/>
      <c r="H44" s="29"/>
      <c r="I44" s="29"/>
      <c r="J44" s="29"/>
      <c r="K44" s="49"/>
      <c r="L44" s="54"/>
      <c r="M44" s="49"/>
      <c r="N44" s="49"/>
    </row>
    <row r="45" spans="1:14">
      <c r="A45" s="29"/>
      <c r="B45" s="48"/>
      <c r="C45" s="29"/>
      <c r="D45" s="29"/>
      <c r="E45" s="29"/>
      <c r="F45" s="29"/>
      <c r="G45" s="48"/>
      <c r="H45" s="29"/>
      <c r="I45" s="29"/>
      <c r="J45" s="29"/>
      <c r="K45" s="49"/>
      <c r="L45" s="54"/>
      <c r="M45" s="49"/>
      <c r="N45" s="49"/>
    </row>
    <row r="46" spans="1:14">
      <c r="A46" s="29"/>
      <c r="B46" s="54"/>
      <c r="C46" s="29"/>
      <c r="D46" s="29"/>
      <c r="E46" s="29"/>
      <c r="F46" s="29"/>
      <c r="G46" s="54"/>
      <c r="H46" s="29"/>
      <c r="I46" s="29"/>
      <c r="J46" s="29"/>
      <c r="K46" s="29"/>
      <c r="L46" s="54"/>
      <c r="M46" s="29"/>
      <c r="N46" s="29"/>
    </row>
    <row r="47" spans="1:14">
      <c r="A47" s="29"/>
      <c r="B47" s="54"/>
      <c r="C47" s="29"/>
      <c r="D47" s="29"/>
      <c r="E47" s="29"/>
      <c r="F47" s="29"/>
      <c r="G47" s="54"/>
      <c r="H47" s="29"/>
      <c r="I47" s="29"/>
      <c r="J47" s="29"/>
      <c r="K47" s="29"/>
      <c r="L47" s="54"/>
      <c r="M47" s="29"/>
      <c r="N47" s="29"/>
    </row>
    <row r="48" spans="1:14">
      <c r="A48" s="29"/>
      <c r="B48" s="54"/>
      <c r="C48" s="29"/>
      <c r="D48" s="29"/>
      <c r="E48" s="29"/>
      <c r="F48" s="29"/>
      <c r="G48" s="54"/>
      <c r="H48" s="29"/>
      <c r="I48" s="29"/>
      <c r="J48" s="29"/>
      <c r="K48" s="29"/>
      <c r="L48" s="54"/>
      <c r="M48" s="29"/>
      <c r="N48" s="29"/>
    </row>
    <row r="49" spans="1:14">
      <c r="A49" s="29"/>
      <c r="B49" s="54"/>
      <c r="C49" s="29"/>
      <c r="D49" s="29"/>
      <c r="E49" s="29"/>
      <c r="F49" s="29"/>
      <c r="G49" s="54"/>
      <c r="H49" s="29"/>
      <c r="I49" s="29"/>
      <c r="J49" s="29"/>
      <c r="K49" s="29"/>
      <c r="L49" s="54"/>
      <c r="M49" s="29"/>
      <c r="N49" s="29"/>
    </row>
    <row r="50" spans="1:14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49"/>
      <c r="L50" s="49"/>
      <c r="M50" s="49"/>
      <c r="N50" s="49"/>
    </row>
    <row r="51" spans="1:14">
      <c r="A51" s="84" t="s">
        <v>59</v>
      </c>
    </row>
    <row r="53" spans="1:14">
      <c r="A53" t="s">
        <v>34</v>
      </c>
    </row>
    <row r="55" spans="1:14">
      <c r="A55" t="s">
        <v>49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76"/>
  <sheetViews>
    <sheetView topLeftCell="A34" zoomScale="90" zoomScaleNormal="90" workbookViewId="0">
      <selection activeCell="B71" sqref="B71"/>
    </sheetView>
  </sheetViews>
  <sheetFormatPr defaultRowHeight="15"/>
  <cols>
    <col min="1" max="1" width="14.85546875" customWidth="1"/>
    <col min="2" max="2" width="21" customWidth="1"/>
    <col min="3" max="3" width="13.140625" customWidth="1"/>
    <col min="4" max="4" width="19.85546875" customWidth="1"/>
    <col min="5" max="5" width="13" customWidth="1"/>
    <col min="6" max="6" width="19.85546875" customWidth="1"/>
    <col min="7" max="7" width="13.140625" customWidth="1"/>
    <col min="8" max="8" width="18.28515625" customWidth="1"/>
    <col min="9" max="9" width="14.42578125" customWidth="1"/>
    <col min="10" max="10" width="19.85546875" customWidth="1"/>
    <col min="11" max="11" width="14.42578125" customWidth="1"/>
    <col min="12" max="13" width="19.85546875" customWidth="1"/>
    <col min="14" max="14" width="17.7109375" customWidth="1"/>
    <col min="15" max="15" width="19.140625" customWidth="1"/>
    <col min="16" max="16" width="3" customWidth="1"/>
    <col min="17" max="17" width="17" customWidth="1"/>
    <col min="19" max="19" width="13.140625" bestFit="1" customWidth="1"/>
    <col min="22" max="22" width="13.140625" bestFit="1" customWidth="1"/>
    <col min="23" max="23" width="11" bestFit="1" customWidth="1"/>
  </cols>
  <sheetData>
    <row r="1" spans="1:22">
      <c r="A1" t="s">
        <v>78</v>
      </c>
      <c r="D1" s="88">
        <f>+O14+O34+O52</f>
        <v>434705018.40172684</v>
      </c>
      <c r="F1" s="75" t="s">
        <v>72</v>
      </c>
    </row>
    <row r="2" spans="1:22">
      <c r="D2" s="14"/>
      <c r="F2" s="75" t="s">
        <v>63</v>
      </c>
    </row>
    <row r="3" spans="1:22">
      <c r="D3" s="14"/>
    </row>
    <row r="4" spans="1:22">
      <c r="D4" s="14"/>
    </row>
    <row r="5" spans="1:22" ht="19.5">
      <c r="A5" s="89" t="s">
        <v>64</v>
      </c>
    </row>
    <row r="6" spans="1:22">
      <c r="B6">
        <v>5</v>
      </c>
      <c r="D6">
        <v>5</v>
      </c>
      <c r="F6">
        <v>5</v>
      </c>
      <c r="H6">
        <v>5</v>
      </c>
      <c r="J6">
        <v>5</v>
      </c>
      <c r="L6">
        <v>5</v>
      </c>
    </row>
    <row r="7" spans="1:22" ht="30">
      <c r="B7" s="90">
        <v>2017</v>
      </c>
      <c r="C7" s="91" t="s">
        <v>65</v>
      </c>
      <c r="D7" s="90">
        <v>2018</v>
      </c>
      <c r="E7" s="91" t="s">
        <v>65</v>
      </c>
      <c r="F7" s="90">
        <v>2019</v>
      </c>
      <c r="G7" s="91" t="s">
        <v>65</v>
      </c>
      <c r="H7" s="90">
        <v>2020</v>
      </c>
      <c r="I7" s="91" t="s">
        <v>65</v>
      </c>
      <c r="J7" s="5">
        <v>2021</v>
      </c>
      <c r="K7" s="91"/>
      <c r="L7" s="5">
        <v>2022</v>
      </c>
      <c r="M7" s="5"/>
      <c r="N7" s="5"/>
      <c r="O7" s="114" t="s">
        <v>73</v>
      </c>
      <c r="P7" s="110"/>
      <c r="Q7" s="115" t="s">
        <v>66</v>
      </c>
    </row>
    <row r="8" spans="1:22">
      <c r="B8" s="92">
        <v>-716714605</v>
      </c>
      <c r="C8" s="5"/>
      <c r="D8" s="92">
        <v>-208254148</v>
      </c>
      <c r="F8" s="92">
        <v>-166279620</v>
      </c>
      <c r="H8" s="92">
        <v>740716649</v>
      </c>
      <c r="J8" s="92">
        <v>-3521129416</v>
      </c>
      <c r="L8" s="92">
        <v>3444885678</v>
      </c>
      <c r="M8" s="93"/>
      <c r="N8" s="93"/>
      <c r="O8" s="5"/>
    </row>
    <row r="9" spans="1:22">
      <c r="A9">
        <v>2017</v>
      </c>
      <c r="B9" s="94">
        <f>$B$8/$B$6</f>
        <v>-143342921</v>
      </c>
      <c r="C9" s="95">
        <f>+B8-B9</f>
        <v>-573371684</v>
      </c>
      <c r="D9" s="94"/>
      <c r="E9" s="85"/>
      <c r="F9" s="96"/>
      <c r="H9" s="94"/>
      <c r="J9" s="94"/>
      <c r="L9" s="111"/>
      <c r="M9" s="111"/>
      <c r="N9" s="93"/>
      <c r="O9" s="14">
        <f t="shared" ref="O9" si="0">+B9+D9</f>
        <v>-143342921</v>
      </c>
      <c r="Q9" s="14">
        <f>+C9+E9</f>
        <v>-573371684</v>
      </c>
      <c r="S9" s="14"/>
      <c r="V9" s="14"/>
    </row>
    <row r="10" spans="1:22">
      <c r="A10">
        <f>+A9+1</f>
        <v>2018</v>
      </c>
      <c r="B10" s="94">
        <f>$B$8/$B$6</f>
        <v>-143342921</v>
      </c>
      <c r="C10" s="95">
        <f>+C9-B10</f>
        <v>-430028763</v>
      </c>
      <c r="D10" s="121">
        <f>$D$8/$D$6</f>
        <v>-41650829.600000001</v>
      </c>
      <c r="E10" s="85">
        <f>+D8-D10</f>
        <v>-166603318.40000001</v>
      </c>
      <c r="F10" s="122"/>
      <c r="G10" s="85"/>
      <c r="H10" s="94"/>
      <c r="J10" s="94"/>
      <c r="L10" s="111"/>
      <c r="M10" s="111"/>
      <c r="N10" s="93"/>
      <c r="O10" s="14">
        <f>+B10+D10+F10</f>
        <v>-184993750.59999999</v>
      </c>
      <c r="Q10" s="14">
        <f>+C10+E10+G10</f>
        <v>-596632081.39999998</v>
      </c>
    </row>
    <row r="11" spans="1:22">
      <c r="A11">
        <f t="shared" ref="A11:A18" si="1">+A10+1</f>
        <v>2019</v>
      </c>
      <c r="B11" s="94">
        <f>$B$8/$B$6</f>
        <v>-143342921</v>
      </c>
      <c r="C11" s="95">
        <f t="shared" ref="C11:C13" si="2">+C10-B11</f>
        <v>-286685842</v>
      </c>
      <c r="D11" s="121">
        <f>$D$8/$D$6</f>
        <v>-41650829.600000001</v>
      </c>
      <c r="E11" s="85">
        <f>+E10-D11</f>
        <v>-124952488.80000001</v>
      </c>
      <c r="F11" s="122">
        <f>$F$8/$F$6</f>
        <v>-33255924</v>
      </c>
      <c r="G11" s="85">
        <f>F8-F11</f>
        <v>-133023696</v>
      </c>
      <c r="H11" s="122"/>
      <c r="I11" s="85"/>
      <c r="J11" s="121"/>
      <c r="K11" s="85"/>
      <c r="L11" s="111"/>
      <c r="M11" s="111"/>
      <c r="N11" s="93"/>
      <c r="O11" s="14">
        <f>+B11+D11+F11+H11</f>
        <v>-218249674.59999999</v>
      </c>
      <c r="Q11" s="14">
        <f>+C11+E11+G11+I11</f>
        <v>-544662026.79999995</v>
      </c>
      <c r="V11" s="14"/>
    </row>
    <row r="12" spans="1:22">
      <c r="A12">
        <f t="shared" si="1"/>
        <v>2020</v>
      </c>
      <c r="B12" s="94">
        <f>$B$8/$B$6</f>
        <v>-143342921</v>
      </c>
      <c r="C12" s="95">
        <f t="shared" si="2"/>
        <v>-143342921</v>
      </c>
      <c r="D12" s="121">
        <f>$D$8/$D$6</f>
        <v>-41650829.600000001</v>
      </c>
      <c r="E12" s="85">
        <f t="shared" ref="E12:E14" si="3">+E11-D12</f>
        <v>-83301659.200000018</v>
      </c>
      <c r="F12" s="122">
        <f>$F$8/$F$6</f>
        <v>-33255924</v>
      </c>
      <c r="G12" s="85">
        <f>+G11-F12</f>
        <v>-99767772</v>
      </c>
      <c r="H12" s="122">
        <f>+$H$8/$H$6</f>
        <v>148143329.80000001</v>
      </c>
      <c r="I12" s="85">
        <f>+H8-H12</f>
        <v>592573319.20000005</v>
      </c>
      <c r="J12" s="122"/>
      <c r="K12" s="85"/>
      <c r="L12" s="122"/>
      <c r="M12" s="122"/>
      <c r="N12" s="93"/>
      <c r="O12" s="14">
        <f>+B12+D12+F12+H12+J12</f>
        <v>-70106344.799999982</v>
      </c>
      <c r="Q12" s="14">
        <f>+C12+E12+G12+I12+K12</f>
        <v>266160967</v>
      </c>
    </row>
    <row r="13" spans="1:22">
      <c r="A13">
        <f t="shared" si="1"/>
        <v>2021</v>
      </c>
      <c r="B13" s="121">
        <f>$B$8/$B$6</f>
        <v>-143342921</v>
      </c>
      <c r="C13" s="84">
        <f t="shared" si="2"/>
        <v>0</v>
      </c>
      <c r="D13" s="121">
        <f>$D$8/$D$6</f>
        <v>-41650829.600000001</v>
      </c>
      <c r="E13" s="85">
        <f t="shared" si="3"/>
        <v>-41650829.600000016</v>
      </c>
      <c r="F13" s="95">
        <f>$F$8/$F$6</f>
        <v>-33255924</v>
      </c>
      <c r="G13" s="85">
        <f>+G12-F13</f>
        <v>-66511848</v>
      </c>
      <c r="H13" s="122">
        <f>+$H$8/$H$6</f>
        <v>148143329.80000001</v>
      </c>
      <c r="I13" s="85">
        <f>+I12-H13</f>
        <v>444429989.40000004</v>
      </c>
      <c r="J13" s="122">
        <f>$J$8/$J$6</f>
        <v>-704225883.20000005</v>
      </c>
      <c r="K13" s="85">
        <f>+J8-J13</f>
        <v>-2816903532.8000002</v>
      </c>
      <c r="L13" s="122"/>
      <c r="M13" s="122"/>
      <c r="N13" s="93"/>
      <c r="O13" s="14">
        <f>+B13+D13+F13+H13+J13+L13</f>
        <v>-774332228</v>
      </c>
      <c r="Q13" s="14">
        <f>G13+I13+K13+M13+E13</f>
        <v>-2480636221</v>
      </c>
    </row>
    <row r="14" spans="1:22">
      <c r="A14">
        <f t="shared" si="1"/>
        <v>2022</v>
      </c>
      <c r="B14" s="14"/>
      <c r="D14" s="93">
        <f>$D$8/$D$6</f>
        <v>-41650829.600000001</v>
      </c>
      <c r="E14" s="75">
        <f t="shared" si="3"/>
        <v>0</v>
      </c>
      <c r="F14" s="93">
        <f>$F$8/$F$6</f>
        <v>-33255924</v>
      </c>
      <c r="G14" s="98">
        <f>+G13-F14</f>
        <v>-33255924</v>
      </c>
      <c r="H14" s="111">
        <f>+$H$8/$H$6</f>
        <v>148143329.80000001</v>
      </c>
      <c r="I14" s="98">
        <f t="shared" ref="I14:I16" si="4">+I13-H14</f>
        <v>296286659.60000002</v>
      </c>
      <c r="J14" s="111">
        <f>$J$8/$J$6</f>
        <v>-704225883.20000005</v>
      </c>
      <c r="K14" s="98">
        <f>+K13-J14</f>
        <v>-2112677649.6000001</v>
      </c>
      <c r="L14" s="111">
        <f t="shared" ref="L14:L18" si="5">$L$8/$L$6</f>
        <v>688977135.60000002</v>
      </c>
      <c r="M14" s="134">
        <f>+L8-L14</f>
        <v>2755908542.4000001</v>
      </c>
      <c r="N14" s="93"/>
      <c r="O14" s="99">
        <f>+B14+D14+F14+H14+J14+L14</f>
        <v>57987828.600000024</v>
      </c>
      <c r="Q14" s="100">
        <f>I14+K14+M14+G14</f>
        <v>906261628.4000001</v>
      </c>
    </row>
    <row r="15" spans="1:22">
      <c r="A15">
        <f t="shared" si="1"/>
        <v>2023</v>
      </c>
      <c r="B15" s="14"/>
      <c r="D15" s="101"/>
      <c r="F15" s="94">
        <f>$F$8/$F$6</f>
        <v>-33255924</v>
      </c>
      <c r="G15">
        <f>+G14-F15</f>
        <v>0</v>
      </c>
      <c r="H15" s="111">
        <f>+$H$8/$H$6</f>
        <v>148143329.80000001</v>
      </c>
      <c r="I15" s="14">
        <f t="shared" si="4"/>
        <v>148143329.80000001</v>
      </c>
      <c r="J15" s="111">
        <f>$J$8/$J$6</f>
        <v>-704225883.20000005</v>
      </c>
      <c r="K15" s="14">
        <f t="shared" ref="K15:K17" si="6">+K14-J15</f>
        <v>-1408451766.4000001</v>
      </c>
      <c r="L15" s="111">
        <f t="shared" si="5"/>
        <v>688977135.60000002</v>
      </c>
      <c r="M15" s="111">
        <f t="shared" ref="M15:M18" si="7">+M14-L15</f>
        <v>2066931406.8000002</v>
      </c>
      <c r="N15" s="93"/>
      <c r="O15" s="14">
        <f>+H15+J15+L15+F15</f>
        <v>99638658.199999928</v>
      </c>
      <c r="Q15" s="14">
        <f>+K15+M15+I15</f>
        <v>806622970.20000005</v>
      </c>
    </row>
    <row r="16" spans="1:22">
      <c r="A16">
        <f t="shared" si="1"/>
        <v>2024</v>
      </c>
      <c r="B16" s="14"/>
      <c r="D16" s="101"/>
      <c r="F16" s="101"/>
      <c r="H16" s="101">
        <f>+$H$8/$H$6</f>
        <v>148143329.80000001</v>
      </c>
      <c r="I16">
        <f t="shared" si="4"/>
        <v>0</v>
      </c>
      <c r="J16" s="111">
        <f>$J$8/$J$6</f>
        <v>-704225883.20000005</v>
      </c>
      <c r="K16" s="14">
        <f t="shared" si="6"/>
        <v>-704225883.20000005</v>
      </c>
      <c r="L16" s="93">
        <f t="shared" si="5"/>
        <v>688977135.60000002</v>
      </c>
      <c r="M16" s="111">
        <f t="shared" si="7"/>
        <v>1377954271.2000003</v>
      </c>
      <c r="N16" s="93"/>
      <c r="O16" s="14">
        <f>+J16+L16+H16</f>
        <v>132894582.19999999</v>
      </c>
      <c r="Q16" s="14">
        <f>+M16+K16</f>
        <v>673728388.00000024</v>
      </c>
    </row>
    <row r="17" spans="1:22">
      <c r="A17">
        <f t="shared" si="1"/>
        <v>2025</v>
      </c>
      <c r="B17" s="14"/>
      <c r="D17" s="101"/>
      <c r="F17" s="101"/>
      <c r="H17" s="101"/>
      <c r="J17" s="93">
        <f>$J$8/$J$6</f>
        <v>-704225883.20000005</v>
      </c>
      <c r="K17" s="14">
        <f t="shared" si="6"/>
        <v>0</v>
      </c>
      <c r="L17" s="93">
        <f t="shared" si="5"/>
        <v>688977135.60000002</v>
      </c>
      <c r="M17" s="93">
        <f t="shared" si="7"/>
        <v>688977135.60000026</v>
      </c>
      <c r="N17" s="93"/>
      <c r="O17" s="14">
        <f>+L17+J17</f>
        <v>-15248747.600000024</v>
      </c>
      <c r="Q17" s="14">
        <f>+M17+K17</f>
        <v>688977135.60000026</v>
      </c>
    </row>
    <row r="18" spans="1:22">
      <c r="A18">
        <f t="shared" si="1"/>
        <v>2026</v>
      </c>
      <c r="B18" s="104"/>
      <c r="D18" s="102"/>
      <c r="F18" s="103"/>
      <c r="H18" s="102"/>
      <c r="J18" s="132"/>
      <c r="K18" s="14"/>
      <c r="L18" s="132">
        <f t="shared" si="5"/>
        <v>688977135.60000002</v>
      </c>
      <c r="M18" s="93">
        <f t="shared" si="7"/>
        <v>0</v>
      </c>
      <c r="N18" s="93"/>
      <c r="O18" s="132">
        <f>+L18</f>
        <v>688977135.60000002</v>
      </c>
      <c r="Q18" s="14">
        <f>+M18</f>
        <v>0</v>
      </c>
    </row>
    <row r="19" spans="1:22">
      <c r="D19" s="101"/>
      <c r="F19" s="105"/>
      <c r="H19" s="101"/>
      <c r="J19" s="131"/>
      <c r="L19" s="93"/>
      <c r="M19" s="93"/>
      <c r="N19" s="93"/>
      <c r="O19" s="14"/>
    </row>
    <row r="20" spans="1:22">
      <c r="B20" s="94">
        <f>SUM(B9:B16)</f>
        <v>-716714605</v>
      </c>
      <c r="C20" s="93"/>
      <c r="D20" s="94">
        <f>SUM(D9:D16)</f>
        <v>-208254148</v>
      </c>
      <c r="F20" s="94">
        <f>SUM(F9:F16)</f>
        <v>-166279620</v>
      </c>
      <c r="H20" s="94">
        <f>SUM(H9:H16)</f>
        <v>740716649</v>
      </c>
      <c r="J20" s="94">
        <f>SUM(J9:J17)</f>
        <v>-3521129416</v>
      </c>
      <c r="L20" s="111">
        <f>SUM(L9:L18)</f>
        <v>3444885678</v>
      </c>
      <c r="M20" s="111"/>
      <c r="N20" s="93"/>
      <c r="O20" s="14">
        <f>SUM(O9:O17)</f>
        <v>-1115752597.6000004</v>
      </c>
    </row>
    <row r="22" spans="1:22">
      <c r="D22" s="14"/>
    </row>
    <row r="23" spans="1:22">
      <c r="D23" s="14"/>
    </row>
    <row r="24" spans="1:22" ht="19.5">
      <c r="A24" s="89" t="s">
        <v>67</v>
      </c>
    </row>
    <row r="25" spans="1:22" ht="19.5">
      <c r="A25" s="89"/>
    </row>
    <row r="26" spans="1:22">
      <c r="B26">
        <v>4.9000000000000004</v>
      </c>
      <c r="D26">
        <v>4.8</v>
      </c>
      <c r="F26">
        <v>4.8</v>
      </c>
      <c r="H26">
        <v>4.7</v>
      </c>
      <c r="J26">
        <v>4.5999999999999996</v>
      </c>
      <c r="L26">
        <v>4.5999999999999996</v>
      </c>
      <c r="O26" s="71" t="s">
        <v>68</v>
      </c>
    </row>
    <row r="27" spans="1:22" ht="30">
      <c r="B27" s="90">
        <v>2017</v>
      </c>
      <c r="C27" s="5"/>
      <c r="D27" s="90">
        <v>2018</v>
      </c>
      <c r="F27" s="90">
        <v>2019</v>
      </c>
      <c r="H27" s="90">
        <v>2020</v>
      </c>
      <c r="I27" s="5"/>
      <c r="J27" s="5">
        <v>2021</v>
      </c>
      <c r="K27" s="5"/>
      <c r="L27" s="5">
        <v>2022</v>
      </c>
      <c r="M27" s="5"/>
      <c r="N27" s="5"/>
      <c r="O27" s="113" t="s">
        <v>73</v>
      </c>
    </row>
    <row r="28" spans="1:22">
      <c r="B28" s="106">
        <v>273580592</v>
      </c>
      <c r="C28" s="5"/>
      <c r="D28" s="106">
        <v>-38113799</v>
      </c>
      <c r="F28" s="92">
        <v>-105480176</v>
      </c>
      <c r="H28" s="92">
        <v>166634457</v>
      </c>
      <c r="J28" s="92">
        <v>26369372</v>
      </c>
      <c r="L28" s="92">
        <v>457371784</v>
      </c>
      <c r="M28" s="93"/>
      <c r="N28" s="93"/>
      <c r="O28" s="5"/>
    </row>
    <row r="29" spans="1:22">
      <c r="A29">
        <v>2017</v>
      </c>
      <c r="B29" s="94">
        <f t="shared" ref="B29:B32" si="8">$B$28/$B$26</f>
        <v>55832773.877551019</v>
      </c>
      <c r="C29" s="95">
        <f>B28-B29</f>
        <v>217747818.12244898</v>
      </c>
      <c r="D29" s="94"/>
      <c r="E29" s="85"/>
      <c r="F29" s="96"/>
      <c r="H29" s="94"/>
      <c r="J29" s="111"/>
      <c r="L29" s="111"/>
      <c r="M29" s="111"/>
      <c r="N29" s="93"/>
      <c r="O29" s="14">
        <f t="shared" ref="O29" si="9">+B29+D29</f>
        <v>55832773.877551019</v>
      </c>
      <c r="Q29" s="14">
        <f>+C29+E29</f>
        <v>217747818.12244898</v>
      </c>
      <c r="V29" s="14"/>
    </row>
    <row r="30" spans="1:22">
      <c r="A30">
        <f>+A29+1</f>
        <v>2018</v>
      </c>
      <c r="B30" s="94">
        <f t="shared" si="8"/>
        <v>55832773.877551019</v>
      </c>
      <c r="C30" s="95">
        <f t="shared" ref="C30:C33" si="10">+C29-B30</f>
        <v>161915044.24489796</v>
      </c>
      <c r="D30" s="121">
        <f t="shared" ref="D30:D33" si="11">$D$28/$D$26</f>
        <v>-7940374.791666667</v>
      </c>
      <c r="E30" s="85">
        <f>+D28-D30</f>
        <v>-30173424.208333332</v>
      </c>
      <c r="F30" s="122"/>
      <c r="G30" s="85"/>
      <c r="H30" s="94"/>
      <c r="J30" s="111"/>
      <c r="L30" s="111"/>
      <c r="M30" s="111"/>
      <c r="N30" s="93"/>
      <c r="O30" s="14">
        <f>+B30+D30+F30</f>
        <v>47892399.085884355</v>
      </c>
      <c r="Q30" s="14">
        <f>+C30+E30+G30</f>
        <v>131741620.03656463</v>
      </c>
    </row>
    <row r="31" spans="1:22">
      <c r="A31">
        <f t="shared" ref="A31:A38" si="12">+A30+1</f>
        <v>2019</v>
      </c>
      <c r="B31" s="94">
        <f t="shared" si="8"/>
        <v>55832773.877551019</v>
      </c>
      <c r="C31" s="95">
        <f t="shared" si="10"/>
        <v>106082270.36734694</v>
      </c>
      <c r="D31" s="121">
        <f t="shared" si="11"/>
        <v>-7940374.791666667</v>
      </c>
      <c r="E31" s="85">
        <f t="shared" ref="E31:E34" si="13">+E30-D31</f>
        <v>-22233049.416666664</v>
      </c>
      <c r="F31" s="122">
        <f>$F$28/$F$26</f>
        <v>-21975036.666666668</v>
      </c>
      <c r="G31" s="85">
        <f>+F28-F31</f>
        <v>-83505139.333333328</v>
      </c>
      <c r="H31" s="133"/>
      <c r="I31" s="85"/>
      <c r="J31" s="122"/>
      <c r="K31" s="85"/>
      <c r="L31" s="111"/>
      <c r="M31" s="111"/>
      <c r="N31" s="93"/>
      <c r="O31" s="14">
        <f>+B31+D31+F31+H31</f>
        <v>25917362.419217687</v>
      </c>
      <c r="Q31" s="14">
        <f>+C31+E31+G31+K31</f>
        <v>344081.61734695733</v>
      </c>
    </row>
    <row r="32" spans="1:22">
      <c r="A32">
        <f t="shared" si="12"/>
        <v>2020</v>
      </c>
      <c r="B32" s="121">
        <f t="shared" si="8"/>
        <v>55832773.877551019</v>
      </c>
      <c r="C32" s="95">
        <f t="shared" si="10"/>
        <v>50249496.489795923</v>
      </c>
      <c r="D32" s="121">
        <f t="shared" si="11"/>
        <v>-7940374.791666667</v>
      </c>
      <c r="E32" s="85">
        <f t="shared" si="13"/>
        <v>-14292674.624999996</v>
      </c>
      <c r="F32" s="122">
        <f>$F$28/$F$26</f>
        <v>-21975036.666666668</v>
      </c>
      <c r="G32" s="85">
        <f t="shared" ref="G32:G35" si="14">+G31-F32</f>
        <v>-61530102.666666657</v>
      </c>
      <c r="H32" s="85">
        <f t="shared" ref="H32:H35" si="15">$H$28/$H$26</f>
        <v>35454139.787234038</v>
      </c>
      <c r="I32" s="85">
        <f>+H28-H32</f>
        <v>131180317.21276596</v>
      </c>
      <c r="J32" s="85"/>
      <c r="K32" s="85"/>
      <c r="L32" s="133"/>
      <c r="M32" s="133"/>
      <c r="N32" s="107"/>
      <c r="O32" s="14">
        <f>+B32+D32+F32+H32+J32</f>
        <v>61371502.206451729</v>
      </c>
      <c r="Q32" s="14">
        <f>+C32+E32+G32+I32+K32</f>
        <v>105607036.41089523</v>
      </c>
    </row>
    <row r="33" spans="1:17">
      <c r="A33">
        <f t="shared" si="12"/>
        <v>2021</v>
      </c>
      <c r="B33" s="121">
        <f>+B28-SUM(B29:B32)</f>
        <v>50249496.489795923</v>
      </c>
      <c r="C33" s="95">
        <f t="shared" si="10"/>
        <v>0</v>
      </c>
      <c r="D33" s="136">
        <f t="shared" si="11"/>
        <v>-7940374.791666667</v>
      </c>
      <c r="E33" s="85">
        <f t="shared" si="13"/>
        <v>-6352299.8333333293</v>
      </c>
      <c r="F33" s="122">
        <f>$F$28/$F$26</f>
        <v>-21975036.666666668</v>
      </c>
      <c r="G33" s="85">
        <f t="shared" si="14"/>
        <v>-39555065.999999985</v>
      </c>
      <c r="H33" s="85">
        <f t="shared" si="15"/>
        <v>35454139.787234038</v>
      </c>
      <c r="I33" s="85">
        <f>I32-H33</f>
        <v>95726177.425531924</v>
      </c>
      <c r="J33" s="85">
        <f t="shared" ref="J33:J36" si="16">$J$28/$J$26</f>
        <v>5732472.1739130439</v>
      </c>
      <c r="K33" s="85">
        <f>+J28-J33</f>
        <v>20636899.826086957</v>
      </c>
      <c r="L33" s="85"/>
      <c r="M33" s="133"/>
      <c r="N33" s="107"/>
      <c r="O33" s="14">
        <f>+B33+D33+F33+H33+J33+L33</f>
        <v>61520696.99260968</v>
      </c>
      <c r="Q33" s="14">
        <f>+E33+G33+I33+K33+M33+C33</f>
        <v>70455711.418285564</v>
      </c>
    </row>
    <row r="34" spans="1:17">
      <c r="A34">
        <f t="shared" si="12"/>
        <v>2022</v>
      </c>
      <c r="B34" s="101"/>
      <c r="C34" s="97"/>
      <c r="D34" s="101">
        <f>D28-SUM(D29:D33)</f>
        <v>-6352299.8333333321</v>
      </c>
      <c r="E34" s="97">
        <f t="shared" si="13"/>
        <v>0</v>
      </c>
      <c r="F34" s="122">
        <f>$F$28/$F$26</f>
        <v>-21975036.666666668</v>
      </c>
      <c r="G34" s="97">
        <f t="shared" si="14"/>
        <v>-17580029.333333317</v>
      </c>
      <c r="H34" s="85">
        <f t="shared" si="15"/>
        <v>35454139.787234038</v>
      </c>
      <c r="I34" s="97">
        <f t="shared" ref="I34:I36" si="17">I33-H34</f>
        <v>60272037.638297886</v>
      </c>
      <c r="J34" s="85">
        <f t="shared" si="16"/>
        <v>5732472.1739130439</v>
      </c>
      <c r="K34" s="97">
        <f t="shared" ref="K34:K37" si="18">+K33-J34</f>
        <v>14904427.652173914</v>
      </c>
      <c r="L34" s="85">
        <f t="shared" ref="L34:L37" si="19">$L$28/$L$26</f>
        <v>99428648.695652187</v>
      </c>
      <c r="M34" s="97">
        <f>+L28-L34</f>
        <v>357943135.30434781</v>
      </c>
      <c r="N34" s="107"/>
      <c r="O34" s="99">
        <f>+D34+F34+H34+J34+L34+B34</f>
        <v>112287924.15679927</v>
      </c>
      <c r="Q34" s="100">
        <f>+I34+K34+M34+G34</f>
        <v>415539571.26148629</v>
      </c>
    </row>
    <row r="35" spans="1:17">
      <c r="A35">
        <f t="shared" si="12"/>
        <v>2023</v>
      </c>
      <c r="F35" s="111">
        <f>+F28-SUM(F30:F34)</f>
        <v>-17580029.333333328</v>
      </c>
      <c r="G35" s="85">
        <f t="shared" si="14"/>
        <v>0</v>
      </c>
      <c r="H35" s="85">
        <f t="shared" si="15"/>
        <v>35454139.787234038</v>
      </c>
      <c r="I35" s="85">
        <f t="shared" si="17"/>
        <v>24817897.851063848</v>
      </c>
      <c r="J35" s="85">
        <f t="shared" si="16"/>
        <v>5732472.1739130439</v>
      </c>
      <c r="K35" s="14">
        <f t="shared" si="18"/>
        <v>9171955.478260871</v>
      </c>
      <c r="L35" s="85">
        <f t="shared" si="19"/>
        <v>99428648.695652187</v>
      </c>
      <c r="M35" s="14">
        <f t="shared" ref="M35:M38" si="20">+M34-L35</f>
        <v>258514486.60869563</v>
      </c>
      <c r="N35" s="107"/>
      <c r="O35" s="14">
        <f>+H35+J35+L35+F35</f>
        <v>123035231.32346593</v>
      </c>
      <c r="Q35" s="14">
        <f>+K35+M35+I35</f>
        <v>292504339.93802035</v>
      </c>
    </row>
    <row r="36" spans="1:17">
      <c r="A36">
        <f t="shared" si="12"/>
        <v>2024</v>
      </c>
      <c r="B36" s="94"/>
      <c r="C36" s="93"/>
      <c r="D36" s="94"/>
      <c r="F36" s="96"/>
      <c r="H36" s="85">
        <f>+H28-SUM(H30:H35)</f>
        <v>24817897.851063848</v>
      </c>
      <c r="I36" s="85">
        <f t="shared" si="17"/>
        <v>0</v>
      </c>
      <c r="J36" s="85">
        <f t="shared" si="16"/>
        <v>5732472.1739130439</v>
      </c>
      <c r="K36" s="14">
        <f t="shared" si="18"/>
        <v>3439483.3043478271</v>
      </c>
      <c r="L36" s="85">
        <f t="shared" si="19"/>
        <v>99428648.695652187</v>
      </c>
      <c r="M36" s="14">
        <f t="shared" si="20"/>
        <v>159085837.91304344</v>
      </c>
      <c r="N36" s="107"/>
      <c r="O36" s="14">
        <f>+J36+L36+H36</f>
        <v>129979018.72062908</v>
      </c>
      <c r="Q36" s="14">
        <f>+C36+E36+G36+I36+K36+M36</f>
        <v>162525321.21739125</v>
      </c>
    </row>
    <row r="37" spans="1:17">
      <c r="A37">
        <f t="shared" si="12"/>
        <v>2025</v>
      </c>
      <c r="D37" s="14"/>
      <c r="F37" s="105"/>
      <c r="H37" s="101"/>
      <c r="J37" s="93">
        <f>J28-SUM(J32:J36)</f>
        <v>3439483.3043478243</v>
      </c>
      <c r="K37" s="14">
        <f t="shared" si="18"/>
        <v>0</v>
      </c>
      <c r="L37" s="85">
        <f t="shared" si="19"/>
        <v>99428648.695652187</v>
      </c>
      <c r="M37" s="14">
        <f t="shared" si="20"/>
        <v>59657189.217391253</v>
      </c>
      <c r="N37" s="93"/>
      <c r="O37" s="14">
        <f>+L37+J37</f>
        <v>102868132.00000001</v>
      </c>
      <c r="Q37" s="14">
        <f>+K37+M37</f>
        <v>59657189.217391253</v>
      </c>
    </row>
    <row r="38" spans="1:17">
      <c r="A38">
        <f t="shared" si="12"/>
        <v>2026</v>
      </c>
      <c r="B38" s="3"/>
      <c r="D38" s="3"/>
      <c r="F38" s="3"/>
      <c r="H38" s="3"/>
      <c r="J38" s="3"/>
      <c r="L38" s="104">
        <f>L28-SUM(L33:L37)</f>
        <v>59657189.217391253</v>
      </c>
      <c r="M38" s="14">
        <f t="shared" si="20"/>
        <v>0</v>
      </c>
      <c r="N38" s="93"/>
      <c r="O38" s="137">
        <f>+L38</f>
        <v>59657189.217391253</v>
      </c>
      <c r="Q38" s="14"/>
    </row>
    <row r="39" spans="1:17">
      <c r="B39" s="94">
        <f>SUM(B29:B37)</f>
        <v>273580592</v>
      </c>
      <c r="C39" s="93"/>
      <c r="D39" s="94">
        <f>SUM(D29:D37)</f>
        <v>-38113799</v>
      </c>
      <c r="F39" s="94">
        <f>SUM(F29:F37)</f>
        <v>-105480176</v>
      </c>
      <c r="H39" s="94">
        <f>SUM(H29:H37)</f>
        <v>166634457</v>
      </c>
      <c r="J39" s="111">
        <f>SUM(J29:J37)</f>
        <v>26369372</v>
      </c>
      <c r="L39" s="94">
        <f>SUM(L29:L38)</f>
        <v>457371784</v>
      </c>
      <c r="M39" s="94"/>
      <c r="N39" s="93"/>
      <c r="O39" s="14">
        <f>SUM(O29:O38)</f>
        <v>780362230</v>
      </c>
    </row>
    <row r="40" spans="1:17">
      <c r="B40" s="94"/>
      <c r="C40" s="93"/>
      <c r="D40" s="94"/>
      <c r="F40" s="94"/>
      <c r="H40" s="94"/>
      <c r="J40" s="111"/>
      <c r="L40" s="94"/>
      <c r="M40" s="94"/>
      <c r="N40" s="93"/>
      <c r="O40" s="14"/>
    </row>
    <row r="41" spans="1:17">
      <c r="B41" s="94"/>
      <c r="C41" s="93"/>
      <c r="D41" s="94"/>
      <c r="F41" s="94"/>
      <c r="H41" s="94"/>
      <c r="J41" s="111"/>
      <c r="L41" s="94"/>
      <c r="M41" s="94"/>
      <c r="N41" s="93"/>
    </row>
    <row r="42" spans="1:17">
      <c r="B42" s="94"/>
      <c r="C42" s="93"/>
      <c r="D42" s="94"/>
      <c r="F42" s="94"/>
      <c r="H42" s="94"/>
      <c r="J42" s="111"/>
      <c r="L42" s="94"/>
      <c r="M42" s="94"/>
      <c r="N42" s="93"/>
    </row>
    <row r="43" spans="1:17" ht="19.5">
      <c r="A43" s="89" t="s">
        <v>69</v>
      </c>
    </row>
    <row r="44" spans="1:17">
      <c r="B44">
        <v>4.9000000000000004</v>
      </c>
      <c r="D44">
        <v>4.8</v>
      </c>
      <c r="F44">
        <v>4.8</v>
      </c>
      <c r="H44">
        <v>4.8</v>
      </c>
      <c r="J44">
        <v>4.5999999999999996</v>
      </c>
      <c r="L44">
        <v>4.5999999999999996</v>
      </c>
      <c r="O44" s="71" t="s">
        <v>68</v>
      </c>
    </row>
    <row r="45" spans="1:17" ht="30">
      <c r="B45" s="90">
        <v>2017</v>
      </c>
      <c r="C45" s="5"/>
      <c r="D45" s="90">
        <v>2018</v>
      </c>
      <c r="F45" s="90">
        <v>2019</v>
      </c>
      <c r="H45" s="90">
        <v>2020</v>
      </c>
      <c r="I45" s="5"/>
      <c r="J45" s="5">
        <v>2021</v>
      </c>
      <c r="K45" s="5"/>
      <c r="L45" s="5">
        <v>2022</v>
      </c>
      <c r="M45" s="5"/>
      <c r="N45" s="5"/>
      <c r="O45" s="113" t="s">
        <v>73</v>
      </c>
    </row>
    <row r="46" spans="1:17">
      <c r="B46" s="108">
        <v>0</v>
      </c>
      <c r="C46" s="4"/>
      <c r="D46" s="92">
        <v>104724103</v>
      </c>
      <c r="F46" s="92">
        <v>0</v>
      </c>
      <c r="H46" s="92">
        <v>0</v>
      </c>
      <c r="J46" s="92">
        <v>1136086143</v>
      </c>
      <c r="L46" s="92">
        <v>0</v>
      </c>
      <c r="M46" s="93"/>
      <c r="N46" s="93"/>
      <c r="O46" s="5"/>
    </row>
    <row r="47" spans="1:17">
      <c r="A47">
        <v>2017</v>
      </c>
      <c r="B47" s="94">
        <f>$B$46/$B$44</f>
        <v>0</v>
      </c>
      <c r="C47" s="93">
        <f>+B46-B47</f>
        <v>0</v>
      </c>
      <c r="O47" s="14">
        <f t="shared" ref="O47:O48" si="21">+B47+D47</f>
        <v>0</v>
      </c>
    </row>
    <row r="48" spans="1:17">
      <c r="A48">
        <f>A47+1</f>
        <v>2018</v>
      </c>
      <c r="B48" s="94">
        <f t="shared" ref="B48:B50" si="22">$B$46/$B$44</f>
        <v>0</v>
      </c>
      <c r="C48" s="95">
        <f>+C47-B48</f>
        <v>0</v>
      </c>
      <c r="D48" s="111">
        <f>+D46/D44</f>
        <v>21817521.458333336</v>
      </c>
      <c r="E48" s="14">
        <f>+D46-D48</f>
        <v>82906581.541666657</v>
      </c>
      <c r="F48" s="112"/>
      <c r="H48" s="94"/>
      <c r="J48" s="111"/>
      <c r="L48" s="111"/>
      <c r="M48" s="111"/>
      <c r="N48" s="93"/>
      <c r="O48" s="14">
        <f t="shared" si="21"/>
        <v>21817521.458333336</v>
      </c>
      <c r="Q48" s="14">
        <f>+C48+E48</f>
        <v>82906581.541666657</v>
      </c>
    </row>
    <row r="49" spans="1:17">
      <c r="A49">
        <f t="shared" ref="A49:A56" si="23">A48+1</f>
        <v>2019</v>
      </c>
      <c r="B49" s="94">
        <f t="shared" si="22"/>
        <v>0</v>
      </c>
      <c r="C49" s="95">
        <f t="shared" ref="C49:C51" si="24">+C48-B49</f>
        <v>0</v>
      </c>
      <c r="D49" s="111">
        <f>+D46/D44</f>
        <v>21817521.458333336</v>
      </c>
      <c r="E49" s="14">
        <f>+E48-D49</f>
        <v>61089060.083333321</v>
      </c>
      <c r="F49" s="111">
        <f>$F$46/$F$44</f>
        <v>0</v>
      </c>
      <c r="G49" s="85">
        <f>+F46-F49</f>
        <v>0</v>
      </c>
      <c r="H49" s="94"/>
      <c r="J49" s="111"/>
      <c r="L49" s="111"/>
      <c r="M49" s="111"/>
      <c r="N49" s="93"/>
      <c r="O49" s="14">
        <f>+B49+D49+F49</f>
        <v>21817521.458333336</v>
      </c>
      <c r="Q49" s="14">
        <f>+C49+E49+G49</f>
        <v>61089060.083333321</v>
      </c>
    </row>
    <row r="50" spans="1:17">
      <c r="A50">
        <f t="shared" si="23"/>
        <v>2020</v>
      </c>
      <c r="B50" s="94">
        <f t="shared" si="22"/>
        <v>0</v>
      </c>
      <c r="C50" s="95">
        <f t="shared" si="24"/>
        <v>0</v>
      </c>
      <c r="D50" s="111">
        <f>+D46/D44</f>
        <v>21817521.458333336</v>
      </c>
      <c r="E50" s="14">
        <f t="shared" ref="E50:E52" si="25">+E49-D50</f>
        <v>39271538.624999985</v>
      </c>
      <c r="F50" s="122">
        <f t="shared" ref="F50:F52" si="26">$F$46/$F$44</f>
        <v>0</v>
      </c>
      <c r="G50" s="85">
        <f>+G49-F50</f>
        <v>0</v>
      </c>
      <c r="H50" s="111">
        <f>+$H$46/$H$44</f>
        <v>0</v>
      </c>
      <c r="I50" s="14">
        <f>+H46-H50</f>
        <v>0</v>
      </c>
      <c r="J50" s="111"/>
      <c r="L50" s="111"/>
      <c r="M50" s="111"/>
      <c r="N50" s="93"/>
      <c r="O50" s="14">
        <f>+B50+D50+F50+H50</f>
        <v>21817521.458333336</v>
      </c>
      <c r="Q50" s="14">
        <f>+C50+E50+G50+K50+I50</f>
        <v>39271538.624999985</v>
      </c>
    </row>
    <row r="51" spans="1:17">
      <c r="A51">
        <f t="shared" si="23"/>
        <v>2021</v>
      </c>
      <c r="B51" s="94">
        <f>+B46-SUM(B47:B50)</f>
        <v>0</v>
      </c>
      <c r="C51" s="93">
        <f t="shared" si="24"/>
        <v>0</v>
      </c>
      <c r="D51" s="111">
        <f>+D46/D44</f>
        <v>21817521.458333336</v>
      </c>
      <c r="E51" s="14">
        <f t="shared" si="25"/>
        <v>17454017.166666649</v>
      </c>
      <c r="F51" s="111">
        <f t="shared" si="26"/>
        <v>0</v>
      </c>
      <c r="G51" s="14">
        <f t="shared" ref="G51:G53" si="27">+G50-F51</f>
        <v>0</v>
      </c>
      <c r="H51" s="111">
        <f t="shared" ref="H51:H53" si="28">+$H$46/$H$44</f>
        <v>0</v>
      </c>
      <c r="I51" s="14">
        <f>+I50-H51</f>
        <v>0</v>
      </c>
      <c r="J51" s="112">
        <f>+$J$46/$J$44</f>
        <v>246975248.47826087</v>
      </c>
      <c r="K51" s="30">
        <f>+J46-J51</f>
        <v>889110894.52173913</v>
      </c>
      <c r="L51" s="112"/>
      <c r="M51" s="112"/>
      <c r="N51" s="107"/>
      <c r="O51" s="14">
        <f>+B51+D51+F51+H51+J51</f>
        <v>268792769.93659419</v>
      </c>
      <c r="Q51" s="14">
        <f>+C51+E51+G51+I51+K51</f>
        <v>906564911.68840575</v>
      </c>
    </row>
    <row r="52" spans="1:17">
      <c r="A52">
        <f t="shared" si="23"/>
        <v>2022</v>
      </c>
      <c r="B52" s="101"/>
      <c r="C52" s="98"/>
      <c r="D52" s="14">
        <f>+D46-SUM(D48:D51)</f>
        <v>17454017.166666657</v>
      </c>
      <c r="E52" s="98">
        <f t="shared" si="25"/>
        <v>0</v>
      </c>
      <c r="F52" s="111">
        <f t="shared" si="26"/>
        <v>0</v>
      </c>
      <c r="G52" s="98">
        <f t="shared" si="27"/>
        <v>0</v>
      </c>
      <c r="H52" s="111">
        <f t="shared" si="28"/>
        <v>0</v>
      </c>
      <c r="I52" s="98">
        <f t="shared" ref="I52:I54" si="29">+I51-H52</f>
        <v>0</v>
      </c>
      <c r="J52" s="112">
        <f t="shared" ref="J52:J54" si="30">+$J$46/$J$44</f>
        <v>246975248.47826087</v>
      </c>
      <c r="K52" s="135">
        <f>+K51-J52</f>
        <v>642135646.04347825</v>
      </c>
      <c r="L52" s="112">
        <f t="shared" ref="L52:L55" si="31">$L$46/$L$44</f>
        <v>0</v>
      </c>
      <c r="M52" s="138">
        <f>+$L$46-L52</f>
        <v>0</v>
      </c>
      <c r="N52" s="107"/>
      <c r="O52" s="99">
        <f>+B52+D52+F52+H52+J52+L52</f>
        <v>264429265.64492753</v>
      </c>
      <c r="Q52" s="100">
        <f>G52+I52+K52+M52</f>
        <v>642135646.04347825</v>
      </c>
    </row>
    <row r="53" spans="1:17">
      <c r="A53">
        <f t="shared" si="23"/>
        <v>2023</v>
      </c>
      <c r="B53" s="101"/>
      <c r="C53" s="93"/>
      <c r="F53" s="111">
        <f>+F46-SUM(F49:F52)</f>
        <v>0</v>
      </c>
      <c r="G53" s="14">
        <f t="shared" si="27"/>
        <v>0</v>
      </c>
      <c r="H53" s="111">
        <f t="shared" si="28"/>
        <v>0</v>
      </c>
      <c r="I53" s="14">
        <f t="shared" si="29"/>
        <v>0</v>
      </c>
      <c r="J53" s="112">
        <f t="shared" si="30"/>
        <v>246975248.47826087</v>
      </c>
      <c r="K53" s="30">
        <f t="shared" ref="K53:K55" si="32">+K52-J53</f>
        <v>395160397.56521738</v>
      </c>
      <c r="L53" s="112">
        <f t="shared" si="31"/>
        <v>0</v>
      </c>
      <c r="M53" s="112">
        <f>+M52-L53</f>
        <v>0</v>
      </c>
      <c r="N53" s="107"/>
      <c r="O53" s="14">
        <f>F53+H53+J53+L53</f>
        <v>246975248.47826087</v>
      </c>
      <c r="Q53" s="14">
        <f>K53+M53</f>
        <v>395160397.56521738</v>
      </c>
    </row>
    <row r="54" spans="1:17">
      <c r="A54">
        <f t="shared" si="23"/>
        <v>2024</v>
      </c>
      <c r="B54" s="101"/>
      <c r="C54" s="93"/>
      <c r="F54" s="93"/>
      <c r="H54" s="111">
        <f>+H46-SUM(H50:H53)</f>
        <v>0</v>
      </c>
      <c r="I54" s="14">
        <f t="shared" si="29"/>
        <v>0</v>
      </c>
      <c r="J54" s="112">
        <f t="shared" si="30"/>
        <v>246975248.47826087</v>
      </c>
      <c r="K54" s="30">
        <f t="shared" si="32"/>
        <v>148185149.0869565</v>
      </c>
      <c r="L54" s="112">
        <f t="shared" si="31"/>
        <v>0</v>
      </c>
      <c r="M54" s="112">
        <f t="shared" ref="M54:M56" si="33">+M53-L54</f>
        <v>0</v>
      </c>
      <c r="N54" s="107"/>
      <c r="O54" s="14">
        <f>J54+L54+H54</f>
        <v>246975248.47826087</v>
      </c>
      <c r="Q54" s="14">
        <f>K54+M54</f>
        <v>148185149.0869565</v>
      </c>
    </row>
    <row r="55" spans="1:17">
      <c r="A55">
        <f t="shared" si="23"/>
        <v>2025</v>
      </c>
      <c r="B55" s="101"/>
      <c r="C55" s="93"/>
      <c r="F55" s="112"/>
      <c r="H55" s="93"/>
      <c r="J55" s="112">
        <f>+J46-SUM(J51:J54)</f>
        <v>148185149.0869565</v>
      </c>
      <c r="K55" s="30">
        <f t="shared" si="32"/>
        <v>0</v>
      </c>
      <c r="L55" s="112">
        <f t="shared" si="31"/>
        <v>0</v>
      </c>
      <c r="M55" s="112">
        <f t="shared" si="33"/>
        <v>0</v>
      </c>
      <c r="N55" s="107"/>
      <c r="O55" s="14">
        <f>+J55+L55</f>
        <v>148185149.0869565</v>
      </c>
      <c r="Q55" s="14">
        <f>K55+M55</f>
        <v>0</v>
      </c>
    </row>
    <row r="56" spans="1:17">
      <c r="A56">
        <f t="shared" si="23"/>
        <v>2026</v>
      </c>
      <c r="B56" s="102"/>
      <c r="C56" s="93"/>
      <c r="D56" s="3"/>
      <c r="F56" s="103"/>
      <c r="H56" s="102"/>
      <c r="J56" s="132"/>
      <c r="L56" s="132">
        <f>L46-SUM(L51:L55)</f>
        <v>0</v>
      </c>
      <c r="M56" s="112">
        <f t="shared" si="33"/>
        <v>0</v>
      </c>
      <c r="N56" s="93"/>
      <c r="O56" s="104">
        <f>+L56</f>
        <v>0</v>
      </c>
      <c r="Q56" s="14"/>
    </row>
    <row r="57" spans="1:17">
      <c r="B57" s="94">
        <f>SUM(B47:B56)</f>
        <v>0</v>
      </c>
      <c r="C57" s="93"/>
      <c r="D57" s="94">
        <f>SUM(D47:D56)</f>
        <v>104724103</v>
      </c>
      <c r="F57" s="94">
        <f>SUM(F47:F56)</f>
        <v>0</v>
      </c>
      <c r="H57" s="94">
        <f>SUM(H47:H56)</f>
        <v>0</v>
      </c>
      <c r="J57" s="94">
        <f>SUM(J47:J56)</f>
        <v>1136086143</v>
      </c>
      <c r="L57" s="94">
        <f>SUM(L47:L56)</f>
        <v>0</v>
      </c>
      <c r="M57" s="94"/>
      <c r="N57" s="93"/>
      <c r="O57" s="14">
        <f>SUM(O47:O56)</f>
        <v>1240810246</v>
      </c>
    </row>
    <row r="59" spans="1:17">
      <c r="B59" s="101"/>
      <c r="C59" s="93"/>
      <c r="O59" s="14"/>
    </row>
    <row r="60" spans="1:17">
      <c r="A60" t="s">
        <v>70</v>
      </c>
      <c r="Q60" s="109">
        <f>+Q14+Q34+Q52</f>
        <v>1963936845.7049646</v>
      </c>
    </row>
    <row r="61" spans="1:17">
      <c r="B61" s="14"/>
      <c r="C61" s="14"/>
    </row>
    <row r="62" spans="1:17">
      <c r="A62">
        <v>2023</v>
      </c>
      <c r="B62" s="14">
        <f>O15+O35+O53</f>
        <v>469649138.00172675</v>
      </c>
      <c r="C62" s="14"/>
    </row>
    <row r="63" spans="1:17">
      <c r="A63">
        <f>+A62+1</f>
        <v>2024</v>
      </c>
      <c r="B63" s="14">
        <f>O16+O36+O54</f>
        <v>509848849.39888996</v>
      </c>
      <c r="C63" s="14"/>
    </row>
    <row r="64" spans="1:17">
      <c r="A64">
        <f t="shared" ref="A64:A65" si="34">+A63+1</f>
        <v>2025</v>
      </c>
      <c r="B64" s="14">
        <f>O17+O37+O55</f>
        <v>235804533.48695648</v>
      </c>
      <c r="C64" s="14"/>
    </row>
    <row r="65" spans="1:14">
      <c r="A65">
        <f t="shared" si="34"/>
        <v>2026</v>
      </c>
      <c r="B65" s="14">
        <f>O18+O38+O56</f>
        <v>748634324.81739128</v>
      </c>
      <c r="C65" s="14"/>
    </row>
    <row r="66" spans="1:14">
      <c r="B66" s="109">
        <f>SUM(B61:B65)</f>
        <v>1963936845.7049646</v>
      </c>
      <c r="C66" s="14"/>
      <c r="D66" s="75" t="s">
        <v>76</v>
      </c>
    </row>
    <row r="69" spans="1:14">
      <c r="A69" s="110" t="s">
        <v>71</v>
      </c>
    </row>
    <row r="70" spans="1:14">
      <c r="B70" s="90">
        <v>2017</v>
      </c>
      <c r="C70" s="5"/>
      <c r="D70" s="90">
        <v>2018</v>
      </c>
      <c r="E70" s="5"/>
      <c r="F70" s="90">
        <v>2019</v>
      </c>
      <c r="H70" s="90">
        <v>2020</v>
      </c>
      <c r="J70" s="90">
        <v>2021</v>
      </c>
      <c r="L70" s="90">
        <v>2022</v>
      </c>
      <c r="M70" s="5"/>
      <c r="N70" t="s">
        <v>12</v>
      </c>
    </row>
    <row r="71" spans="1:14">
      <c r="B71" s="14"/>
      <c r="D71" s="14"/>
      <c r="F71" s="14"/>
      <c r="H71" s="14"/>
      <c r="J71" s="14"/>
      <c r="L71" s="14"/>
      <c r="M71" s="14"/>
    </row>
    <row r="72" spans="1:14">
      <c r="A72">
        <v>2023</v>
      </c>
      <c r="B72" s="14">
        <f>B15+B35+B53</f>
        <v>0</v>
      </c>
      <c r="D72" s="14">
        <f>D15+D35+D53</f>
        <v>0</v>
      </c>
      <c r="F72" s="14">
        <f>F15+F35+F53</f>
        <v>-50835953.333333328</v>
      </c>
      <c r="H72" s="14">
        <f>H15+H35+H53</f>
        <v>183597469.58723405</v>
      </c>
      <c r="J72" s="14">
        <f>J15+J35+J53</f>
        <v>-451518162.54782617</v>
      </c>
      <c r="L72" s="14">
        <f>L15+L35+L53</f>
        <v>788405784.29565215</v>
      </c>
      <c r="M72" s="14"/>
      <c r="N72" s="14">
        <f>+B72+D72+F72+H72+J72+L72</f>
        <v>469649138.00172669</v>
      </c>
    </row>
    <row r="73" spans="1:14">
      <c r="A73">
        <f>+A72+1</f>
        <v>2024</v>
      </c>
      <c r="D73" s="14">
        <f>D15+D35+D54</f>
        <v>0</v>
      </c>
      <c r="F73" s="14">
        <f>F16+F36+F54</f>
        <v>0</v>
      </c>
      <c r="H73" s="14">
        <f>H16+H36+H54</f>
        <v>172961227.65106386</v>
      </c>
      <c r="J73" s="14">
        <f>J16+J36+J54</f>
        <v>-451518162.54782617</v>
      </c>
      <c r="L73" s="14">
        <f>L16+L36+L54</f>
        <v>788405784.29565215</v>
      </c>
      <c r="M73" s="14"/>
      <c r="N73" s="14">
        <f t="shared" ref="N73:N75" si="35">+B73+D73+F73+H73+J73+L73</f>
        <v>509848849.39888984</v>
      </c>
    </row>
    <row r="74" spans="1:14">
      <c r="A74">
        <f t="shared" ref="A74:A75" si="36">+A73+1</f>
        <v>2025</v>
      </c>
      <c r="H74" s="14">
        <f>H17+H37+H55</f>
        <v>0</v>
      </c>
      <c r="J74" s="14">
        <f>J17+J37+J55</f>
        <v>-552601250.80869567</v>
      </c>
      <c r="L74" s="14">
        <f>L17+L37+L55</f>
        <v>788405784.29565215</v>
      </c>
      <c r="M74" s="14"/>
      <c r="N74" s="14">
        <f t="shared" si="35"/>
        <v>235804533.48695648</v>
      </c>
    </row>
    <row r="75" spans="1:14">
      <c r="A75">
        <f t="shared" si="36"/>
        <v>2026</v>
      </c>
      <c r="J75" s="14">
        <f>J18+J38+J56</f>
        <v>0</v>
      </c>
      <c r="L75" s="14">
        <f>L18+L38+L56</f>
        <v>748634324.81739128</v>
      </c>
      <c r="M75" s="14"/>
      <c r="N75" s="14">
        <f t="shared" si="35"/>
        <v>748634324.81739128</v>
      </c>
    </row>
    <row r="76" spans="1:14">
      <c r="N76" s="109">
        <f>SUM(N72:N75)</f>
        <v>1963936845.7049642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 Exp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Eric Carpenter</cp:lastModifiedBy>
  <cp:lastPrinted>2015-11-13T22:57:08Z</cp:lastPrinted>
  <dcterms:created xsi:type="dcterms:W3CDTF">2009-09-23T16:56:24Z</dcterms:created>
  <dcterms:modified xsi:type="dcterms:W3CDTF">2023-05-09T21:22:01Z</dcterms:modified>
</cp:coreProperties>
</file>