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68\FRF 2022\"/>
    </mc:Choice>
  </mc:AlternateContent>
  <xr:revisionPtr revIDLastSave="0" documentId="8_{17FB28F1-DB7F-4A20-B223-24DF5F9DC7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7" l="1"/>
  <c r="E38" i="7"/>
  <c r="E23" i="7" l="1"/>
  <c r="N53" i="13" l="1"/>
  <c r="N54" i="13"/>
  <c r="N55" i="13"/>
  <c r="G38" i="8" l="1"/>
  <c r="B23" i="8"/>
  <c r="M22" i="8"/>
  <c r="L23" i="8"/>
  <c r="Q17" i="7" l="1"/>
  <c r="I17" i="7"/>
  <c r="C37" i="8" l="1"/>
  <c r="G37" i="8" s="1"/>
  <c r="G41" i="8" s="1"/>
  <c r="B85" i="13"/>
  <c r="H69" i="13"/>
  <c r="H68" i="13"/>
  <c r="F68" i="13"/>
  <c r="H67" i="13"/>
  <c r="F67" i="13"/>
  <c r="D67" i="13"/>
  <c r="J66" i="13"/>
  <c r="H66" i="13"/>
  <c r="F66" i="13"/>
  <c r="D66" i="13"/>
  <c r="H65" i="13"/>
  <c r="F65" i="13"/>
  <c r="D65" i="13"/>
  <c r="F64" i="13"/>
  <c r="D64" i="13"/>
  <c r="D63" i="13"/>
  <c r="D56" i="13"/>
  <c r="P55" i="13"/>
  <c r="P54" i="13"/>
  <c r="P53" i="13"/>
  <c r="J50" i="13"/>
  <c r="H49" i="13"/>
  <c r="F48" i="13"/>
  <c r="G48" i="13" s="1"/>
  <c r="N47" i="13"/>
  <c r="B46" i="13"/>
  <c r="N46" i="13" s="1"/>
  <c r="P37" i="13"/>
  <c r="N37" i="13"/>
  <c r="P36" i="13"/>
  <c r="N36" i="13"/>
  <c r="P35" i="13"/>
  <c r="N35" i="13"/>
  <c r="N33" i="13"/>
  <c r="J32" i="13"/>
  <c r="N32" i="13" s="1"/>
  <c r="H31" i="13"/>
  <c r="N31" i="13" s="1"/>
  <c r="F30" i="13"/>
  <c r="F38" i="13" s="1"/>
  <c r="D29" i="13"/>
  <c r="N29" i="13" s="1"/>
  <c r="B28" i="13"/>
  <c r="N28" i="13" s="1"/>
  <c r="P17" i="13"/>
  <c r="J17" i="13"/>
  <c r="J16" i="13"/>
  <c r="J86" i="13" s="1"/>
  <c r="H16" i="13"/>
  <c r="J15" i="13"/>
  <c r="J85" i="13" s="1"/>
  <c r="H15" i="13"/>
  <c r="F15" i="13"/>
  <c r="J14" i="13"/>
  <c r="J84" i="13" s="1"/>
  <c r="H14" i="13"/>
  <c r="F14" i="13"/>
  <c r="D14" i="13"/>
  <c r="J13" i="13"/>
  <c r="K13" i="13" s="1"/>
  <c r="H13" i="13"/>
  <c r="F13" i="13"/>
  <c r="D13" i="13"/>
  <c r="B13" i="13"/>
  <c r="H12" i="13"/>
  <c r="I12" i="13" s="1"/>
  <c r="F12" i="13"/>
  <c r="D12" i="13"/>
  <c r="B12" i="13"/>
  <c r="F11" i="13"/>
  <c r="D11" i="13"/>
  <c r="B11" i="13"/>
  <c r="D10" i="13"/>
  <c r="B10" i="13"/>
  <c r="B9" i="13"/>
  <c r="N9" i="13" s="1"/>
  <c r="H84" i="13" l="1"/>
  <c r="N49" i="13"/>
  <c r="N48" i="13"/>
  <c r="N50" i="13"/>
  <c r="N10" i="13"/>
  <c r="H85" i="13"/>
  <c r="N17" i="13"/>
  <c r="B79" i="13" s="1"/>
  <c r="J87" i="13"/>
  <c r="L87" i="13" s="1"/>
  <c r="K14" i="13"/>
  <c r="K15" i="13" s="1"/>
  <c r="K16" i="13" s="1"/>
  <c r="K17" i="13" s="1"/>
  <c r="N16" i="13"/>
  <c r="H86" i="13"/>
  <c r="L86" i="13" s="1"/>
  <c r="N14" i="13"/>
  <c r="N15" i="13"/>
  <c r="N13" i="13"/>
  <c r="N64" i="13"/>
  <c r="F84" i="13"/>
  <c r="C9" i="13"/>
  <c r="C10" i="13" s="1"/>
  <c r="C11" i="13" s="1"/>
  <c r="D38" i="13"/>
  <c r="I13" i="13"/>
  <c r="I14" i="13" s="1"/>
  <c r="I15" i="13" s="1"/>
  <c r="I16" i="13" s="1"/>
  <c r="N11" i="13"/>
  <c r="J38" i="13"/>
  <c r="N34" i="13"/>
  <c r="H19" i="13"/>
  <c r="G30" i="13"/>
  <c r="G31" i="13" s="1"/>
  <c r="G32" i="13" s="1"/>
  <c r="G33" i="13" s="1"/>
  <c r="G34" i="13" s="1"/>
  <c r="N30" i="13"/>
  <c r="H56" i="13"/>
  <c r="N12" i="13"/>
  <c r="J19" i="13"/>
  <c r="J56" i="13"/>
  <c r="D84" i="13"/>
  <c r="N65" i="13"/>
  <c r="F19" i="13"/>
  <c r="G11" i="13"/>
  <c r="G12" i="13" s="1"/>
  <c r="G13" i="13" s="1"/>
  <c r="G14" i="13" s="1"/>
  <c r="G15" i="13" s="1"/>
  <c r="B38" i="13"/>
  <c r="N63" i="13"/>
  <c r="B19" i="13"/>
  <c r="C28" i="13"/>
  <c r="C29" i="13" s="1"/>
  <c r="H70" i="13"/>
  <c r="H38" i="13"/>
  <c r="F69" i="13"/>
  <c r="N66" i="13"/>
  <c r="D19" i="13"/>
  <c r="E10" i="13"/>
  <c r="E11" i="13" s="1"/>
  <c r="E12" i="13" s="1"/>
  <c r="E13" i="13" s="1"/>
  <c r="E14" i="13" s="1"/>
  <c r="E29" i="13"/>
  <c r="E30" i="13" s="1"/>
  <c r="E31" i="13" s="1"/>
  <c r="E32" i="13" s="1"/>
  <c r="E33" i="13" s="1"/>
  <c r="E34" i="13" s="1"/>
  <c r="N52" i="13"/>
  <c r="D68" i="13"/>
  <c r="D72" i="13" s="1"/>
  <c r="N51" i="13"/>
  <c r="C46" i="13"/>
  <c r="P16" i="13" l="1"/>
  <c r="D1" i="13"/>
  <c r="B78" i="13"/>
  <c r="P15" i="13"/>
  <c r="P14" i="13"/>
  <c r="N38" i="13"/>
  <c r="P11" i="13"/>
  <c r="P9" i="13"/>
  <c r="P34" i="13"/>
  <c r="P52" i="13"/>
  <c r="F56" i="13"/>
  <c r="P63" i="13"/>
  <c r="P10" i="13"/>
  <c r="P47" i="13"/>
  <c r="D21" i="13"/>
  <c r="C12" i="13"/>
  <c r="P12" i="13" s="1"/>
  <c r="B84" i="13"/>
  <c r="L84" i="13" s="1"/>
  <c r="N56" i="13"/>
  <c r="N19" i="13"/>
  <c r="J72" i="13"/>
  <c r="B56" i="13"/>
  <c r="F72" i="13"/>
  <c r="H72" i="13"/>
  <c r="P29" i="13"/>
  <c r="C30" i="13"/>
  <c r="F85" i="13"/>
  <c r="B77" i="13"/>
  <c r="D85" i="13"/>
  <c r="L85" i="13" l="1"/>
  <c r="L89" i="13" s="1"/>
  <c r="B76" i="13"/>
  <c r="B80" i="13" s="1"/>
  <c r="N72" i="13"/>
  <c r="C13" i="13"/>
  <c r="P13" i="13" s="1"/>
  <c r="C31" i="13"/>
  <c r="P30" i="13"/>
  <c r="P48" i="13"/>
  <c r="P49" i="13" l="1"/>
  <c r="P31" i="13"/>
  <c r="C32" i="13"/>
  <c r="C33" i="13" l="1"/>
  <c r="P33" i="13" s="1"/>
  <c r="P32" i="13"/>
  <c r="P51" i="13"/>
  <c r="P50" i="13"/>
  <c r="P72" i="13" l="1"/>
  <c r="G8" i="6"/>
  <c r="H9" i="6" l="1"/>
  <c r="G38" i="7" l="1"/>
  <c r="I38" i="7"/>
  <c r="G24" i="6"/>
  <c r="H23" i="6"/>
  <c r="C23" i="8" s="1"/>
  <c r="L22" i="8" l="1"/>
  <c r="L27" i="8" s="1"/>
  <c r="K38" i="7"/>
  <c r="O38" i="7" s="1"/>
  <c r="H29" i="6"/>
  <c r="H25" i="6"/>
  <c r="H38" i="8" s="1"/>
  <c r="H21" i="6"/>
  <c r="H19" i="6"/>
  <c r="M38" i="7" l="1"/>
  <c r="P23" i="6"/>
  <c r="H41" i="8"/>
  <c r="G43" i="8" s="1"/>
  <c r="D3" i="6"/>
  <c r="I20" i="7"/>
  <c r="A20" i="7"/>
  <c r="E20" i="7"/>
  <c r="G20" i="7"/>
  <c r="K20" i="7"/>
  <c r="M20" i="7"/>
  <c r="O20" i="7"/>
  <c r="Q20" i="7"/>
  <c r="S20" i="7"/>
  <c r="U20" i="7"/>
  <c r="L10" i="8" s="1"/>
  <c r="I23" i="7"/>
  <c r="I25" i="7" s="1"/>
  <c r="I28" i="7" s="1"/>
  <c r="Q23" i="7"/>
  <c r="Q25" i="7" s="1"/>
  <c r="E25" i="7"/>
  <c r="G25" i="7"/>
  <c r="K25" i="7"/>
  <c r="M25" i="7"/>
  <c r="O25" i="7"/>
  <c r="S25" i="7"/>
  <c r="H22" i="6" s="1"/>
  <c r="U25" i="7"/>
  <c r="E39" i="7"/>
  <c r="I39" i="7" s="1"/>
  <c r="I40" i="7"/>
  <c r="E41" i="7"/>
  <c r="G41" i="7" s="1"/>
  <c r="I41" i="7"/>
  <c r="E42" i="7"/>
  <c r="G42" i="7" s="1"/>
  <c r="Q28" i="7" l="1"/>
  <c r="M23" i="8"/>
  <c r="M27" i="8" s="1"/>
  <c r="M29" i="8" s="1"/>
  <c r="G22" i="8"/>
  <c r="H22" i="8"/>
  <c r="G40" i="7"/>
  <c r="K40" i="7" s="1"/>
  <c r="C22" i="8"/>
  <c r="B22" i="8"/>
  <c r="I42" i="7"/>
  <c r="K42" i="7" s="1"/>
  <c r="O42" i="7" s="1"/>
  <c r="G28" i="7"/>
  <c r="P22" i="6"/>
  <c r="O28" i="7"/>
  <c r="E28" i="7"/>
  <c r="K28" i="7"/>
  <c r="K41" i="7"/>
  <c r="U28" i="7"/>
  <c r="G39" i="7"/>
  <c r="K39" i="7" s="1"/>
  <c r="L11" i="8" l="1"/>
  <c r="L14" i="8" s="1"/>
  <c r="M11" i="8"/>
  <c r="M14" i="8" s="1"/>
  <c r="G23" i="8"/>
  <c r="G29" i="8" s="1"/>
  <c r="H23" i="8"/>
  <c r="H29" i="8" s="1"/>
  <c r="H18" i="6"/>
  <c r="B24" i="8"/>
  <c r="B29" i="8" s="1"/>
  <c r="C24" i="8"/>
  <c r="C29" i="8" s="1"/>
  <c r="M42" i="7"/>
  <c r="G17" i="6"/>
  <c r="H17" i="6"/>
  <c r="M39" i="7"/>
  <c r="O39" i="7"/>
  <c r="O40" i="7"/>
  <c r="M40" i="7"/>
  <c r="M41" i="7"/>
  <c r="O41" i="7"/>
  <c r="G20" i="6"/>
  <c r="L16" i="8" l="1"/>
  <c r="H30" i="6"/>
  <c r="H31" i="8"/>
  <c r="B31" i="8"/>
  <c r="G30" i="6"/>
  <c r="M43" i="7"/>
  <c r="O43" i="7"/>
  <c r="O45" i="7" s="1"/>
  <c r="J30" i="6" l="1"/>
  <c r="M45" i="7"/>
  <c r="J34" i="6"/>
  <c r="J35" i="6" l="1"/>
</calcChain>
</file>

<file path=xl/sharedStrings.xml><?xml version="1.0" encoding="utf-8"?>
<sst xmlns="http://schemas.openxmlformats.org/spreadsheetml/2006/main" count="143" uniqueCount="95">
  <si>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</si>
  <si>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</si>
  <si>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</si>
  <si>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</si>
  <si>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</si>
  <si>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</si>
  <si>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</si>
  <si>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</si>
  <si>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</si>
  <si>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</si>
  <si>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</si>
  <si>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</si>
  <si>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</si>
  <si>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</si>
  <si>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</si>
  <si>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</si>
  <si>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</si>
  <si>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</si>
  <si>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</si>
  <si>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</si>
  <si>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</si>
  <si>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</si>
  <si>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</si>
  <si>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</si>
  <si>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</si>
  <si>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Pension expense</t>
  </si>
  <si>
    <t>Change Employer portion</t>
  </si>
  <si>
    <t>Proportionate Share of</t>
  </si>
  <si>
    <t>Collective Deferred Outflows</t>
  </si>
  <si>
    <t>Collective Deferred Inflows</t>
  </si>
  <si>
    <t>Cash to PERSI</t>
  </si>
  <si>
    <t>Contribution Expense</t>
  </si>
  <si>
    <t>1)</t>
  </si>
  <si>
    <t>a)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</si>
  <si>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</si>
  <si>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</si>
  <si>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</si>
  <si>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</si>
  <si>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</si>
  <si>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</si>
  <si>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</si>
  <si>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</si>
  <si>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</si>
  <si>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</si>
  <si>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</si>
  <si>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Net Pension Asset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</si>
  <si>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</si>
  <si>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</si>
  <si>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</si>
  <si>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</si>
  <si>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</si>
  <si>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</si>
  <si>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</si>
  <si>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NPL per allocation report</t>
  </si>
  <si>
    <t>Reclassing 9 months of contributions to better compare pension expense</t>
  </si>
  <si>
    <t>1 year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</si>
  <si>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</si>
  <si>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</si>
  <si>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</si>
  <si>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</si>
  <si>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</si>
  <si>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Pension expense / revenue per actuary less 9 months contribution exp already recorded by ER</t>
  </si>
  <si>
    <t>DOR - Experience</t>
  </si>
  <si>
    <t>Beg Bal</t>
  </si>
  <si>
    <t>Exp</t>
  </si>
  <si>
    <t>Contr</t>
  </si>
  <si>
    <t>Proportionate Share Calculation from Input Sheet</t>
  </si>
  <si>
    <t>Difference</t>
  </si>
  <si>
    <t>In Red in what ties to the Actuarial Report of "Schedule of Collective Pension Amounts"</t>
  </si>
  <si>
    <t>layered balances for each year</t>
  </si>
  <si>
    <t>Investments</t>
  </si>
  <si>
    <t>Remaining Balance</t>
  </si>
  <si>
    <t>Total Expense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</si>
  <si>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</si>
  <si>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</si>
  <si>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</si>
  <si>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</si>
  <si>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</si>
  <si>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>1) record current year entry</t>
  </si>
  <si>
    <t>End Bal</t>
  </si>
  <si>
    <t>Plan Pension Expense</t>
  </si>
  <si>
    <t>Pension Expense</t>
  </si>
  <si>
    <t>Collective Pension Expense</t>
  </si>
  <si>
    <t>Current Year Expense</t>
  </si>
  <si>
    <t>FY21</t>
  </si>
  <si>
    <t>FY22</t>
  </si>
  <si>
    <t>*Note Both FY21 and FY22 Contributions for FRF were zero. Both FY21 and FY22 Employer Proportionate Allocation equals the FY20 rate.</t>
  </si>
  <si>
    <t>FY21 Data</t>
  </si>
  <si>
    <t>FY22 Cumulative Data</t>
  </si>
  <si>
    <t>June 30, 2021 Net Pension Liability/(Asset)</t>
  </si>
  <si>
    <t>Sept 30, 2022 Entry</t>
  </si>
  <si>
    <t>Sept 30, 2022 Contributions from July 1 to Employers Fiscal Year End</t>
  </si>
  <si>
    <r>
      <t>Represent contributions from July 1, 2022 to employer year end Sept 30, 2022 - ER contributions 7/1/22-9/30/22 the amount here is just for illustration purposes (</t>
    </r>
    <r>
      <rPr>
        <sz val="11"/>
        <color rgb="FFFF0000"/>
        <rFont val="Times New Roman"/>
        <family val="1"/>
      </rPr>
      <t>Input your number that you used last year if it is different</t>
    </r>
    <r>
      <rPr>
        <sz val="11"/>
        <rFont val="Times New Roman"/>
        <family val="2"/>
      </rPr>
      <t>)</t>
    </r>
  </si>
  <si>
    <t>T-Account Illustration for Employers with 9/30/22 FYE</t>
  </si>
  <si>
    <t>Using 6/30/22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</si>
</sst>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3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sz val="12"/>
      <color indexed="10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rgb="FFFF0000"/>
      <name val="Times New Roman"/>
      <family val="1"/>
    </font>
  </fonts>
  <fills count="8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44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164" fontId="0" fillId="0" borderId="0" xfId="0" applyNumberFormat="1" applyAlignment="1">
      <alignment horizontal="right"/>
    </xf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1" fontId="0" fillId="0" borderId="0" xfId="0" applyNumberForma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164" fontId="0" fillId="0" borderId="20" xfId="0" applyNumberFormat="1" applyBorder="1" applyAlignment="1">
      <alignment horizontal="right"/>
    </xf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100" fillId="0" borderId="24" xfId="1110" applyNumberFormat="1" applyFont="1" applyBorder="1"/>
    <xf numFmtId="164" fontId="0" fillId="0" borderId="24" xfId="0" applyNumberFormat="1" applyBorder="1"/>
    <xf numFmtId="44" fontId="100" fillId="0" borderId="24" xfId="1110" applyFont="1" applyBorder="1"/>
    <xf numFmtId="165" fontId="100" fillId="0" borderId="0" xfId="729" applyNumberFormat="1" applyFont="1"/>
    <xf numFmtId="43" fontId="0" fillId="0" borderId="0" xfId="0" applyNumberFormat="1"/>
    <xf numFmtId="164" fontId="100" fillId="0" borderId="24" xfId="1110" applyNumberFormat="1" applyFont="1" applyFill="1" applyBorder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9" fontId="100" fillId="0" borderId="0" xfId="2336" applyFont="1"/>
    <xf numFmtId="165" fontId="0" fillId="0" borderId="0" xfId="0" applyNumberFormat="1" applyAlignment="1">
      <alignment horizontal="right"/>
    </xf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41" fontId="99" fillId="47" borderId="0" xfId="1731" applyNumberFormat="1" applyFont="1" applyFill="1"/>
    <xf numFmtId="191" fontId="99" fillId="47" borderId="0" xfId="2336" applyNumberFormat="1" applyFont="1" applyFill="1" applyBorder="1"/>
    <xf numFmtId="165" fontId="100" fillId="47" borderId="0" xfId="729" applyNumberFormat="1" applyFont="1" applyFill="1" applyAlignment="1">
      <alignment horizontal="right"/>
    </xf>
    <xf numFmtId="0" fontId="91" fillId="0" borderId="0" xfId="0" applyFont="1" applyAlignment="1">
      <alignment wrapText="1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0" fontId="0" fillId="0" borderId="17" xfId="0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41" fontId="99" fillId="47" borderId="0" xfId="2754" applyNumberFormat="1" applyFont="1" applyFill="1"/>
    <xf numFmtId="165" fontId="2" fillId="0" borderId="0" xfId="729" applyNumberFormat="1" applyFont="1"/>
    <xf numFmtId="42" fontId="2" fillId="0" borderId="31" xfId="784" applyNumberFormat="1" applyFont="1" applyBorder="1"/>
    <xf numFmtId="0" fontId="131" fillId="0" borderId="0" xfId="0" applyFont="1" applyAlignment="1">
      <alignment wrapText="1"/>
    </xf>
    <xf numFmtId="165" fontId="100" fillId="0" borderId="0" xfId="729" applyNumberFormat="1" applyFont="1" applyFill="1" applyAlignment="1">
      <alignment horizontal="right"/>
    </xf>
    <xf numFmtId="165" fontId="100" fillId="0" borderId="20" xfId="729" applyNumberFormat="1" applyFont="1" applyFill="1" applyBorder="1" applyAlignment="1">
      <alignment horizontal="right"/>
    </xf>
    <xf numFmtId="42" fontId="95" fillId="0" borderId="0" xfId="784" applyNumberFormat="1" applyFont="1" applyBorder="1"/>
    <xf numFmtId="0" fontId="133" fillId="0" borderId="20" xfId="0" applyFont="1" applyBorder="1"/>
    <xf numFmtId="0" fontId="133" fillId="0" borderId="0" xfId="0" applyFont="1"/>
    <xf numFmtId="165" fontId="130" fillId="81" borderId="0" xfId="0" applyNumberFormat="1" applyFont="1" applyFill="1"/>
    <xf numFmtId="0" fontId="129" fillId="0" borderId="0" xfId="0" applyFont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wrapText="1"/>
    </xf>
    <xf numFmtId="165" fontId="0" fillId="80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1" fillId="0" borderId="0" xfId="2755" applyNumberFormat="1" applyFont="1" applyFill="1" applyBorder="1"/>
    <xf numFmtId="165" fontId="131" fillId="0" borderId="0" xfId="0" applyNumberFormat="1" applyFont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1" borderId="0" xfId="0" applyNumberFormat="1" applyFill="1"/>
    <xf numFmtId="165" fontId="0" fillId="82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0" fontId="135" fillId="0" borderId="0" xfId="0" applyFont="1"/>
    <xf numFmtId="165" fontId="0" fillId="80" borderId="0" xfId="2755" applyNumberFormat="1" applyFont="1" applyFill="1"/>
    <xf numFmtId="43" fontId="0" fillId="0" borderId="0" xfId="2755" applyFont="1" applyFill="1" applyBorder="1"/>
    <xf numFmtId="165" fontId="0" fillId="80" borderId="0" xfId="2755" applyNumberFormat="1" applyFont="1" applyFill="1" applyAlignment="1">
      <alignment horizontal="right"/>
    </xf>
    <xf numFmtId="165" fontId="130" fillId="82" borderId="0" xfId="0" applyNumberFormat="1" applyFont="1" applyFill="1"/>
    <xf numFmtId="165" fontId="104" fillId="0" borderId="0" xfId="729" applyNumberFormat="1" applyFont="1" applyBorder="1"/>
    <xf numFmtId="165" fontId="100" fillId="0" borderId="17" xfId="729" applyNumberFormat="1" applyFont="1" applyBorder="1"/>
    <xf numFmtId="165" fontId="98" fillId="0" borderId="17" xfId="729" applyNumberFormat="1" applyFont="1" applyBorder="1"/>
    <xf numFmtId="165" fontId="0" fillId="0" borderId="0" xfId="729" applyNumberFormat="1" applyFont="1"/>
    <xf numFmtId="165" fontId="100" fillId="0" borderId="21" xfId="729" applyNumberFormat="1" applyFont="1" applyBorder="1"/>
    <xf numFmtId="165" fontId="98" fillId="0" borderId="0" xfId="729" applyNumberFormat="1" applyFont="1"/>
    <xf numFmtId="165" fontId="99" fillId="0" borderId="34" xfId="729" applyNumberFormat="1" applyFont="1" applyBorder="1"/>
    <xf numFmtId="165" fontId="99" fillId="0" borderId="17" xfId="729" applyNumberFormat="1" applyFont="1" applyBorder="1"/>
    <xf numFmtId="41" fontId="131" fillId="0" borderId="0" xfId="0" applyNumberFormat="1" applyFont="1" applyAlignment="1">
      <alignment horizontal="right"/>
    </xf>
    <xf numFmtId="0" fontId="0" fillId="0" borderId="29" xfId="0" applyBorder="1" applyAlignment="1">
      <alignment horizontal="center"/>
    </xf>
    <xf numFmtId="165" fontId="0" fillId="0" borderId="29" xfId="0" applyNumberFormat="1" applyBorder="1"/>
    <xf numFmtId="165" fontId="0" fillId="0" borderId="33" xfId="0" applyNumberFormat="1" applyBorder="1"/>
    <xf numFmtId="165" fontId="0" fillId="0" borderId="0" xfId="2755" applyNumberFormat="1" applyFont="1" applyFill="1"/>
    <xf numFmtId="43" fontId="0" fillId="0" borderId="0" xfId="2755" applyFont="1" applyFill="1"/>
    <xf numFmtId="165" fontId="131" fillId="0" borderId="0" xfId="2755" applyNumberFormat="1" applyFont="1"/>
    <xf numFmtId="165" fontId="131" fillId="0" borderId="0" xfId="2755" applyNumberFormat="1" applyFont="1" applyFill="1"/>
    <xf numFmtId="165" fontId="130" fillId="0" borderId="0" xfId="809" applyNumberFormat="1" applyFont="1" applyFill="1" applyBorder="1"/>
    <xf numFmtId="165" fontId="0" fillId="0" borderId="20" xfId="2755" applyNumberFormat="1" applyFont="1" applyFill="1" applyBorder="1"/>
    <xf numFmtId="165" fontId="129" fillId="0" borderId="0" xfId="2755" applyNumberFormat="1" applyFont="1" applyFill="1"/>
    <xf numFmtId="165" fontId="130" fillId="0" borderId="0" xfId="0" applyNumberFormat="1" applyFont="1"/>
    <xf numFmtId="165" fontId="0" fillId="0" borderId="48" xfId="0" applyNumberFormat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165" fontId="107" fillId="0" borderId="0" xfId="809" applyNumberFormat="1" applyFont="1" applyFill="1"/>
    <xf numFmtId="0" fontId="107" fillId="0" borderId="0" xfId="0" applyFont="1"/>
    <xf numFmtId="165" fontId="107" fillId="0" borderId="0" xfId="0" applyNumberFormat="1" applyFont="1"/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0</xdr:colOff>
      <xdr:row>14</xdr:row>
      <xdr:rowOff>76200</xdr:rowOff>
    </xdr:from>
    <xdr:to>
      <xdr:col>10</xdr:col>
      <xdr:colOff>35433</xdr:colOff>
      <xdr:row>16</xdr:row>
      <xdr:rowOff>152399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48175" y="2933700"/>
          <a:ext cx="1864233" cy="457199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7</xdr:col>
      <xdr:colOff>161925</xdr:colOff>
      <xdr:row>15</xdr:row>
      <xdr:rowOff>0</xdr:rowOff>
    </xdr:from>
    <xdr:ext cx="1491434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610100" y="3048000"/>
          <a:ext cx="149143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should equal ER portion of NPA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tabSelected="1" workbookViewId="0">
      <selection activeCell="K9" sqref="K9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5.85546875" customWidth="1"/>
    <col min="6" max="6" width="4" customWidth="1"/>
    <col min="7" max="7" width="12.7109375" customWidth="1"/>
    <col min="8" max="8" width="3.85546875" customWidth="1"/>
    <col min="9" max="9" width="13.425781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3" max="23" width="11" bestFit="1" customWidth="1"/>
    <col min="24" max="24" width="14.140625" bestFit="1" customWidth="1"/>
  </cols>
  <sheetData>
    <row r="1" spans="1:21" ht="36" customHeight="1">
      <c r="A1" s="136" t="s">
        <v>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3" spans="1:21">
      <c r="A3" s="25" t="s">
        <v>18</v>
      </c>
    </row>
    <row r="4" spans="1:21">
      <c r="A4" s="25"/>
    </row>
    <row r="5" spans="1:21">
      <c r="A5" s="25"/>
      <c r="I5" s="21" t="s">
        <v>85</v>
      </c>
      <c r="K5" s="21" t="s">
        <v>85</v>
      </c>
      <c r="M5" s="21" t="s">
        <v>84</v>
      </c>
      <c r="O5" s="21" t="s">
        <v>84</v>
      </c>
    </row>
    <row r="6" spans="1:21">
      <c r="I6" s="21" t="s">
        <v>11</v>
      </c>
      <c r="K6" s="63" t="s">
        <v>12</v>
      </c>
      <c r="M6" s="21" t="s">
        <v>11</v>
      </c>
      <c r="O6" s="63" t="s">
        <v>12</v>
      </c>
    </row>
    <row r="7" spans="1:21">
      <c r="I7" s="21" t="s">
        <v>12</v>
      </c>
      <c r="K7" s="63" t="s">
        <v>13</v>
      </c>
      <c r="M7" s="21" t="s">
        <v>12</v>
      </c>
      <c r="O7" s="63" t="s">
        <v>13</v>
      </c>
    </row>
    <row r="8" spans="1:21">
      <c r="A8" s="21" t="s">
        <v>12</v>
      </c>
      <c r="B8" s="21"/>
      <c r="C8" s="21"/>
      <c r="D8" s="21"/>
      <c r="E8" s="21"/>
      <c r="F8" s="21"/>
      <c r="G8" s="21"/>
      <c r="H8" s="20"/>
      <c r="I8" s="21" t="s">
        <v>9</v>
      </c>
      <c r="K8" s="63" t="s">
        <v>14</v>
      </c>
      <c r="M8" s="21" t="s">
        <v>9</v>
      </c>
      <c r="O8" s="63" t="s">
        <v>14</v>
      </c>
    </row>
    <row r="9" spans="1:21">
      <c r="A9" s="26" t="s">
        <v>16</v>
      </c>
      <c r="I9" s="64">
        <v>0</v>
      </c>
      <c r="K9" s="65">
        <v>0.36382131600000001</v>
      </c>
      <c r="M9" s="77">
        <v>0</v>
      </c>
      <c r="O9" s="65">
        <v>0.36382131600000001</v>
      </c>
    </row>
    <row r="10" spans="1:21">
      <c r="A10" s="26"/>
      <c r="I10" s="27"/>
      <c r="K10" s="28"/>
    </row>
    <row r="11" spans="1:21">
      <c r="A11" s="26"/>
      <c r="I11" s="27" t="s">
        <v>86</v>
      </c>
      <c r="K11" s="28"/>
    </row>
    <row r="12" spans="1:21">
      <c r="A12" s="26"/>
      <c r="I12" s="27"/>
      <c r="K12" s="28"/>
    </row>
    <row r="13" spans="1:21" ht="15.75" thickBot="1">
      <c r="A13" s="25" t="s">
        <v>19</v>
      </c>
    </row>
    <row r="14" spans="1:21">
      <c r="A14" s="37"/>
      <c r="B14" s="38"/>
      <c r="C14" s="39"/>
      <c r="D14" s="39"/>
      <c r="E14" s="133" t="s">
        <v>2</v>
      </c>
      <c r="F14" s="134"/>
      <c r="G14" s="134"/>
      <c r="H14" s="134"/>
      <c r="I14" s="135"/>
      <c r="J14" s="40"/>
      <c r="K14" s="133" t="s">
        <v>3</v>
      </c>
      <c r="L14" s="134"/>
      <c r="M14" s="134"/>
      <c r="N14" s="134"/>
      <c r="O14" s="134"/>
      <c r="P14" s="134"/>
      <c r="Q14" s="135"/>
      <c r="R14" s="39"/>
      <c r="S14" s="39"/>
      <c r="T14" s="39"/>
      <c r="U14" s="41"/>
    </row>
    <row r="15" spans="1:21" ht="18" customHeight="1">
      <c r="A15" s="42"/>
      <c r="C15" s="7"/>
      <c r="D15" s="7"/>
      <c r="E15" s="6"/>
      <c r="F15" s="6"/>
      <c r="G15" s="6"/>
      <c r="H15" s="6"/>
      <c r="I15" s="6"/>
      <c r="J15" s="7"/>
      <c r="K15" s="6"/>
      <c r="L15" s="6"/>
      <c r="M15" s="6"/>
      <c r="N15" s="6"/>
      <c r="O15" s="6"/>
      <c r="P15" s="6"/>
      <c r="Q15" s="6"/>
      <c r="R15" s="7"/>
      <c r="S15" s="7"/>
      <c r="T15" s="7"/>
      <c r="U15" s="43"/>
    </row>
    <row r="16" spans="1:21" ht="90" customHeight="1">
      <c r="A16" s="42"/>
      <c r="C16" s="15"/>
      <c r="D16" s="7"/>
      <c r="E16" s="22" t="s">
        <v>7</v>
      </c>
      <c r="F16" s="7"/>
      <c r="G16" s="22" t="s">
        <v>5</v>
      </c>
      <c r="H16" s="15"/>
      <c r="I16" s="22" t="s">
        <v>6</v>
      </c>
      <c r="J16" s="7"/>
      <c r="K16" s="22" t="s">
        <v>7</v>
      </c>
      <c r="L16" s="7"/>
      <c r="M16" s="22" t="s">
        <v>5</v>
      </c>
      <c r="N16" s="7"/>
      <c r="O16" s="22" t="s">
        <v>4</v>
      </c>
      <c r="P16" s="7"/>
      <c r="Q16" s="22" t="s">
        <v>8</v>
      </c>
      <c r="R16" s="7"/>
      <c r="S16" s="22" t="s">
        <v>80</v>
      </c>
      <c r="T16" s="22"/>
      <c r="U16" s="44" t="s">
        <v>89</v>
      </c>
    </row>
    <row r="17" spans="1:24" ht="15.75" thickBot="1">
      <c r="A17" s="42" t="s">
        <v>87</v>
      </c>
      <c r="C17" s="83"/>
      <c r="D17" s="7"/>
      <c r="E17" s="36">
        <v>0</v>
      </c>
      <c r="G17" s="36">
        <v>0</v>
      </c>
      <c r="I17" s="32">
        <f>SUM(E17:G17)</f>
        <v>0</v>
      </c>
      <c r="K17" s="31">
        <v>57986745</v>
      </c>
      <c r="M17" s="33">
        <v>0</v>
      </c>
      <c r="O17" s="36">
        <v>0</v>
      </c>
      <c r="Q17" s="32">
        <f>SUM(K17:O17)</f>
        <v>57986745</v>
      </c>
      <c r="S17" s="32">
        <v>-57166374</v>
      </c>
      <c r="T17" s="17"/>
      <c r="U17" s="79">
        <v>-270226848</v>
      </c>
    </row>
    <row r="18" spans="1:24" ht="15.75" thickTop="1">
      <c r="A18" s="42"/>
      <c r="C18" s="14"/>
      <c r="E18" s="14"/>
      <c r="F18" s="14"/>
      <c r="G18" s="14"/>
      <c r="I18" s="16"/>
      <c r="K18" s="14"/>
      <c r="Q18" s="16"/>
      <c r="S18" s="16"/>
      <c r="T18" s="16"/>
      <c r="U18" s="43"/>
    </row>
    <row r="19" spans="1:24">
      <c r="A19" s="42"/>
      <c r="D19" s="18"/>
      <c r="S19" s="13"/>
      <c r="T19" s="13"/>
      <c r="U19" s="43"/>
    </row>
    <row r="20" spans="1:24">
      <c r="A20" s="45" t="str">
        <f>A9</f>
        <v>Employer A</v>
      </c>
      <c r="B20" s="24" t="s">
        <v>17</v>
      </c>
      <c r="C20" s="17"/>
      <c r="D20" s="17"/>
      <c r="E20" s="17">
        <f>ROUND((E17*$O$9),0)</f>
        <v>0</v>
      </c>
      <c r="F20" s="17"/>
      <c r="G20" s="17">
        <f>ROUND((G17*$O$9),0)</f>
        <v>0</v>
      </c>
      <c r="H20" s="17"/>
      <c r="I20" s="17">
        <f>ROUND((I17*$O$9),0)</f>
        <v>0</v>
      </c>
      <c r="J20" s="17"/>
      <c r="K20" s="17">
        <f>ROUND((K17*$O$9),0)</f>
        <v>21096814</v>
      </c>
      <c r="L20" s="17"/>
      <c r="M20" s="17">
        <f>ROUND((M17*$O$9),0)</f>
        <v>0</v>
      </c>
      <c r="N20" s="17"/>
      <c r="O20" s="17">
        <f>ROUND((O17*$O$9),0)</f>
        <v>0</v>
      </c>
      <c r="P20" s="17"/>
      <c r="Q20" s="17">
        <f>ROUND((Q17*$O$9),0)</f>
        <v>21096814</v>
      </c>
      <c r="R20" s="17"/>
      <c r="S20" s="17">
        <f>ROUND((S17*$O$9),0)</f>
        <v>-20798345</v>
      </c>
      <c r="T20" s="17"/>
      <c r="U20" s="46">
        <f>ROUND((U17*$O$9),0)</f>
        <v>-98314287</v>
      </c>
    </row>
    <row r="21" spans="1:24">
      <c r="A21" s="42"/>
      <c r="S21" s="17"/>
      <c r="T21" s="17"/>
      <c r="U21" s="43"/>
    </row>
    <row r="22" spans="1:24">
      <c r="A22" s="42"/>
      <c r="C22" s="15"/>
      <c r="E22" s="30"/>
      <c r="G22" s="30"/>
      <c r="I22" s="29"/>
      <c r="S22" s="17"/>
      <c r="T22" s="17"/>
      <c r="U22" s="43"/>
    </row>
    <row r="23" spans="1:24" ht="15.75" thickBot="1">
      <c r="A23" s="42" t="s">
        <v>88</v>
      </c>
      <c r="C23" s="13"/>
      <c r="E23" s="36">
        <f>78839029+20852284</f>
        <v>99691313</v>
      </c>
      <c r="G23" s="36">
        <v>0</v>
      </c>
      <c r="I23" s="32">
        <f>SUM(E23:G23)</f>
        <v>99691313</v>
      </c>
      <c r="K23" s="31">
        <v>0</v>
      </c>
      <c r="M23" s="33">
        <v>0</v>
      </c>
      <c r="O23" s="36">
        <v>0</v>
      </c>
      <c r="Q23" s="32">
        <f>SUM(K23:O23)</f>
        <v>0</v>
      </c>
      <c r="S23" s="32">
        <v>-13903125</v>
      </c>
      <c r="T23" s="17"/>
      <c r="U23" s="79">
        <v>-205290944</v>
      </c>
      <c r="X23" s="13"/>
    </row>
    <row r="24" spans="1:24" ht="15.75" thickTop="1">
      <c r="A24" s="42"/>
      <c r="S24" s="17"/>
      <c r="T24" s="17"/>
      <c r="U24" s="43"/>
    </row>
    <row r="25" spans="1:24">
      <c r="A25" s="45" t="s">
        <v>52</v>
      </c>
      <c r="B25" s="24"/>
      <c r="C25" s="17"/>
      <c r="E25" s="17">
        <f>ROUND((E23*$K$9),0)</f>
        <v>36269825</v>
      </c>
      <c r="G25" s="17">
        <f>ROUND((G23*$K$9),0)</f>
        <v>0</v>
      </c>
      <c r="I25" s="17">
        <f>ROUND((I23*$K$9),0)</f>
        <v>36269825</v>
      </c>
      <c r="K25" s="17">
        <f>ROUND((K23*$K$9),0)</f>
        <v>0</v>
      </c>
      <c r="M25" s="17">
        <f>ROUND((M23*$K$9),0)</f>
        <v>0</v>
      </c>
      <c r="O25" s="17">
        <f>ROUND((O23*$K$9),0)</f>
        <v>0</v>
      </c>
      <c r="Q25" s="17">
        <f>ROUND((Q23*$K$9),0)</f>
        <v>0</v>
      </c>
      <c r="S25" s="17">
        <f>ROUND((S23*$K$9),0)</f>
        <v>-5058253</v>
      </c>
      <c r="T25" s="17"/>
      <c r="U25" s="46">
        <f>ROUND((U23*$K$9),0)</f>
        <v>-74689221</v>
      </c>
    </row>
    <row r="26" spans="1:24">
      <c r="A26" s="42"/>
      <c r="S26" s="17"/>
      <c r="T26" s="17"/>
      <c r="U26" s="43"/>
    </row>
    <row r="27" spans="1:24">
      <c r="A27" s="42"/>
      <c r="S27" s="17"/>
      <c r="T27" s="17"/>
      <c r="U27" s="47"/>
    </row>
    <row r="28" spans="1:24">
      <c r="A28" s="42" t="s">
        <v>26</v>
      </c>
      <c r="E28" s="17">
        <f>E25-E20</f>
        <v>36269825</v>
      </c>
      <c r="G28" s="17">
        <f>G25-G20</f>
        <v>0</v>
      </c>
      <c r="I28" s="17">
        <f>I25-I20</f>
        <v>36269825</v>
      </c>
      <c r="K28" s="17">
        <f>K25-K20</f>
        <v>-21096814</v>
      </c>
      <c r="O28" s="17">
        <f>O25-O20</f>
        <v>0</v>
      </c>
      <c r="Q28" s="17">
        <f>Q25-Q20</f>
        <v>-21096814</v>
      </c>
      <c r="S28" s="17"/>
      <c r="T28" s="17"/>
      <c r="U28" s="46">
        <f>+U25-U20</f>
        <v>23625066</v>
      </c>
    </row>
    <row r="29" spans="1:24">
      <c r="A29" s="42"/>
      <c r="S29" s="17"/>
      <c r="T29" s="17"/>
      <c r="U29" s="43"/>
    </row>
    <row r="30" spans="1:24" ht="15.75" thickBot="1">
      <c r="A30" s="48"/>
      <c r="B30" s="49"/>
      <c r="C30" s="49"/>
      <c r="D30" s="49"/>
      <c r="E30" s="49"/>
      <c r="F30" s="49"/>
      <c r="G30" s="70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0"/>
    </row>
    <row r="33" spans="1:17" ht="15.75" thickBot="1">
      <c r="A33" s="25" t="s">
        <v>56</v>
      </c>
    </row>
    <row r="34" spans="1:17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41"/>
    </row>
    <row r="35" spans="1:17">
      <c r="A35" s="42"/>
      <c r="E35" s="21" t="s">
        <v>84</v>
      </c>
      <c r="G35" s="21" t="s">
        <v>84</v>
      </c>
      <c r="I35" s="21" t="s">
        <v>85</v>
      </c>
      <c r="Q35" s="43"/>
    </row>
    <row r="36" spans="1:17">
      <c r="A36" s="42"/>
      <c r="E36" s="69" t="s">
        <v>38</v>
      </c>
      <c r="G36" s="69" t="s">
        <v>14</v>
      </c>
      <c r="I36" s="69" t="s">
        <v>14</v>
      </c>
      <c r="Q36" s="43"/>
    </row>
    <row r="37" spans="1:17">
      <c r="A37" s="42"/>
      <c r="E37" s="69" t="s">
        <v>39</v>
      </c>
      <c r="G37" s="69" t="s">
        <v>40</v>
      </c>
      <c r="I37" s="69" t="s">
        <v>40</v>
      </c>
      <c r="K37" s="69" t="s">
        <v>41</v>
      </c>
      <c r="M37" s="69" t="s">
        <v>42</v>
      </c>
      <c r="O37" s="69" t="s">
        <v>1</v>
      </c>
      <c r="Q37" s="71" t="s">
        <v>46</v>
      </c>
    </row>
    <row r="38" spans="1:17">
      <c r="A38" s="42"/>
      <c r="C38" s="4" t="s">
        <v>62</v>
      </c>
      <c r="E38" s="57">
        <f>I17</f>
        <v>0</v>
      </c>
      <c r="G38" s="57">
        <f>E38*O9</f>
        <v>0</v>
      </c>
      <c r="I38" s="57">
        <f>E38*K9</f>
        <v>0</v>
      </c>
      <c r="K38" s="57">
        <f>I38-G38</f>
        <v>0</v>
      </c>
      <c r="M38" s="76">
        <f>IF(K38&gt;0,K38,)</f>
        <v>0</v>
      </c>
      <c r="N38" s="76"/>
      <c r="O38" s="76">
        <f>IF(K38&lt;0,-K38,)</f>
        <v>0</v>
      </c>
      <c r="Q38" s="43"/>
    </row>
    <row r="39" spans="1:17">
      <c r="A39" s="42"/>
      <c r="C39" s="4" t="s">
        <v>22</v>
      </c>
      <c r="E39" s="57">
        <f>G17</f>
        <v>0</v>
      </c>
      <c r="G39" s="57">
        <f>E39*O9</f>
        <v>0</v>
      </c>
      <c r="H39" s="57"/>
      <c r="I39" s="57">
        <f>E39*K9</f>
        <v>0</v>
      </c>
      <c r="J39" s="57"/>
      <c r="K39" s="57">
        <f>I39-G39</f>
        <v>0</v>
      </c>
      <c r="L39" s="57"/>
      <c r="M39" s="76">
        <f>IF(K39&gt;0,K39,)</f>
        <v>0</v>
      </c>
      <c r="N39" s="76"/>
      <c r="O39" s="76">
        <f>IF(K39&lt;0,-K39,)</f>
        <v>0</v>
      </c>
      <c r="Q39" s="43"/>
    </row>
    <row r="40" spans="1:17">
      <c r="A40" s="42"/>
      <c r="C40" s="4" t="s">
        <v>36</v>
      </c>
      <c r="E40" s="57">
        <f>E17-K17</f>
        <v>-57986745</v>
      </c>
      <c r="G40" s="57">
        <f>E40*O9</f>
        <v>-21096813.876456421</v>
      </c>
      <c r="H40" s="57"/>
      <c r="I40" s="57">
        <f>E40*K9</f>
        <v>-21096813.876456421</v>
      </c>
      <c r="J40" s="57"/>
      <c r="K40" s="57">
        <f>I40-G40</f>
        <v>0</v>
      </c>
      <c r="L40" s="57"/>
      <c r="M40" s="76">
        <f>IF(K40&lt;0,-K40,)</f>
        <v>0</v>
      </c>
      <c r="N40" s="76"/>
      <c r="O40" s="76">
        <f>IF(K40&gt;0,K40,)</f>
        <v>0</v>
      </c>
      <c r="Q40" s="43"/>
    </row>
    <row r="41" spans="1:17">
      <c r="A41" s="42"/>
      <c r="C41" s="4" t="s">
        <v>37</v>
      </c>
      <c r="E41" s="57">
        <f>O17</f>
        <v>0</v>
      </c>
      <c r="G41" s="57">
        <f>E41*O9</f>
        <v>0</v>
      </c>
      <c r="H41" s="57"/>
      <c r="I41" s="57">
        <f>E41*K9</f>
        <v>0</v>
      </c>
      <c r="J41" s="57"/>
      <c r="K41" s="57">
        <f>I41-G41</f>
        <v>0</v>
      </c>
      <c r="L41" s="57"/>
      <c r="M41" s="76">
        <f>IF(K41&lt;0,-K41,)</f>
        <v>0</v>
      </c>
      <c r="N41" s="76"/>
      <c r="O41" s="76">
        <f>IF(K41&gt;0,K41,)</f>
        <v>0</v>
      </c>
      <c r="Q41" s="43"/>
    </row>
    <row r="42" spans="1:17">
      <c r="A42" s="42"/>
      <c r="C42" s="4" t="s">
        <v>45</v>
      </c>
      <c r="E42" s="57">
        <f>U17</f>
        <v>-270226848</v>
      </c>
      <c r="G42" s="57">
        <f>E42*O9</f>
        <v>-98314287.457891971</v>
      </c>
      <c r="H42" s="57"/>
      <c r="I42" s="57">
        <f>E42*K9</f>
        <v>-98314287.457891971</v>
      </c>
      <c r="J42" s="57"/>
      <c r="K42" s="57">
        <f>I42-G42</f>
        <v>0</v>
      </c>
      <c r="L42" s="57"/>
      <c r="M42" s="76">
        <f>IF(K42&lt;0,-K42,)</f>
        <v>0</v>
      </c>
      <c r="N42" s="76"/>
      <c r="O42" s="76">
        <f>IF(K42&gt;0,K42,)</f>
        <v>0</v>
      </c>
      <c r="Q42" s="43"/>
    </row>
    <row r="43" spans="1:17">
      <c r="A43" s="42"/>
      <c r="C43" s="4" t="s">
        <v>35</v>
      </c>
      <c r="G43" s="57"/>
      <c r="H43" s="57"/>
      <c r="I43" s="57"/>
      <c r="J43" s="57"/>
      <c r="K43" s="57"/>
      <c r="L43" s="57"/>
      <c r="M43" s="128" t="str">
        <f>IF((SUM(O38:O42)&gt;SUM(M38:M42)),SUM(O38:O42)-SUM(M38:M42),"")</f>
        <v/>
      </c>
      <c r="N43" s="128"/>
      <c r="O43" s="128" t="str">
        <f>IF((SUM(O38:O42)&lt;SUM(M38:M42)),-(SUM(O38:O42)-SUM(M38:M42)),"")</f>
        <v/>
      </c>
      <c r="Q43" s="43" t="s">
        <v>55</v>
      </c>
    </row>
    <row r="44" spans="1:17">
      <c r="A44" s="42"/>
      <c r="Q44" s="43"/>
    </row>
    <row r="45" spans="1:17" ht="15.75" thickBot="1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72">
        <f>SUM(M38:M43)</f>
        <v>0</v>
      </c>
      <c r="N45" s="49"/>
      <c r="O45" s="72">
        <f>SUM(O38:O43)</f>
        <v>0</v>
      </c>
      <c r="P45" s="49"/>
      <c r="Q45" s="50"/>
    </row>
  </sheetData>
  <mergeCells count="3">
    <mergeCell ref="E14:I14"/>
    <mergeCell ref="K14:Q14"/>
    <mergeCell ref="A1:Q1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S35"/>
  <sheetViews>
    <sheetView zoomScale="80" zoomScaleNormal="80" workbookViewId="0">
      <selection activeCell="J30" sqref="J30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20.85546875" customWidth="1"/>
    <col min="13" max="13" width="5.140625" customWidth="1"/>
    <col min="14" max="14" width="5.85546875" customWidth="1"/>
    <col min="15" max="15" width="8.5703125" customWidth="1"/>
    <col min="16" max="16" width="12.28515625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9">
      <c r="A1" s="136" t="s">
        <v>44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3" spans="1:19">
      <c r="B3" s="1" t="s">
        <v>15</v>
      </c>
      <c r="C3" s="3"/>
      <c r="D3" s="23" t="str">
        <f>Input!A9</f>
        <v>Employer A</v>
      </c>
    </row>
    <row r="4" spans="1:19">
      <c r="B4" s="9"/>
      <c r="D4" s="25"/>
    </row>
    <row r="5" spans="1:19">
      <c r="B5" s="9"/>
      <c r="D5" s="25"/>
    </row>
    <row r="6" spans="1:19" ht="15.75">
      <c r="B6" s="84" t="s">
        <v>91</v>
      </c>
      <c r="C6" s="3"/>
      <c r="D6" s="23"/>
      <c r="E6" s="3"/>
      <c r="F6" s="3"/>
      <c r="G6" s="3"/>
      <c r="H6" s="3"/>
    </row>
    <row r="7" spans="1:19" ht="15.75">
      <c r="B7" s="85"/>
      <c r="D7" s="25"/>
    </row>
    <row r="8" spans="1:19" ht="60">
      <c r="B8" t="s">
        <v>21</v>
      </c>
      <c r="G8" s="81">
        <f>+Input!I9/12*3</f>
        <v>0</v>
      </c>
      <c r="H8" s="8"/>
      <c r="J8" s="80" t="s">
        <v>92</v>
      </c>
    </row>
    <row r="9" spans="1:19">
      <c r="B9" t="s">
        <v>0</v>
      </c>
      <c r="G9" s="19"/>
      <c r="H9" s="82">
        <f>+G8</f>
        <v>0</v>
      </c>
      <c r="S9" s="34"/>
    </row>
    <row r="10" spans="1:19">
      <c r="B10" s="11"/>
      <c r="G10" s="10"/>
      <c r="H10" s="10"/>
      <c r="J10" s="17"/>
      <c r="K10" s="51"/>
      <c r="L10" s="51"/>
      <c r="M10" s="51"/>
      <c r="S10" s="34"/>
    </row>
    <row r="11" spans="1:19">
      <c r="B11" s="2"/>
      <c r="G11" s="4"/>
      <c r="H11" s="4"/>
      <c r="K11" s="51"/>
      <c r="L11" s="51"/>
      <c r="M11" s="51"/>
      <c r="S11" s="52"/>
    </row>
    <row r="12" spans="1:19">
      <c r="G12" s="4"/>
      <c r="H12" s="4"/>
      <c r="K12" s="51"/>
      <c r="L12" s="51"/>
      <c r="M12" s="51"/>
      <c r="S12" s="34"/>
    </row>
    <row r="13" spans="1:19">
      <c r="G13" s="4"/>
      <c r="H13" s="4"/>
    </row>
    <row r="14" spans="1:19">
      <c r="G14" s="4"/>
      <c r="H14" s="4"/>
      <c r="J14" s="2"/>
    </row>
    <row r="15" spans="1:19">
      <c r="G15" s="4"/>
      <c r="H15" s="4"/>
      <c r="J15" s="2"/>
    </row>
    <row r="16" spans="1:19">
      <c r="B16" s="1" t="s">
        <v>90</v>
      </c>
      <c r="C16" s="1"/>
    </row>
    <row r="17" spans="2:16">
      <c r="B17" t="s">
        <v>10</v>
      </c>
      <c r="C17" s="9"/>
      <c r="G17" s="34">
        <f>IF(Input!U28&lt;0,-Input!U28,)</f>
        <v>0</v>
      </c>
      <c r="H17" s="120">
        <f>IF(Input!U28&gt;0,Input!U28,)</f>
        <v>23625066</v>
      </c>
      <c r="I17" s="10"/>
      <c r="J17" s="2" t="s">
        <v>53</v>
      </c>
      <c r="K17" s="34"/>
    </row>
    <row r="18" spans="2:16">
      <c r="B18" t="s">
        <v>57</v>
      </c>
      <c r="C18" s="9"/>
      <c r="G18" s="10"/>
      <c r="H18" s="10">
        <f>-Input!E28</f>
        <v>-36269825</v>
      </c>
      <c r="I18" s="10"/>
      <c r="J18" s="2" t="s">
        <v>23</v>
      </c>
      <c r="K18" s="16"/>
    </row>
    <row r="19" spans="2:16" ht="15.75" thickBot="1">
      <c r="B19" t="s">
        <v>58</v>
      </c>
      <c r="C19" s="9"/>
      <c r="G19" s="10"/>
      <c r="H19" s="10">
        <f>-Input!G48</f>
        <v>0</v>
      </c>
      <c r="I19" s="10"/>
      <c r="J19" s="2" t="s">
        <v>23</v>
      </c>
      <c r="K19" s="35"/>
    </row>
    <row r="20" spans="2:16">
      <c r="B20" t="s">
        <v>59</v>
      </c>
      <c r="C20" s="9"/>
      <c r="G20" s="10">
        <f>-Input!K28</f>
        <v>21096814</v>
      </c>
      <c r="H20" s="17"/>
      <c r="I20" s="10"/>
      <c r="J20" s="2" t="s">
        <v>23</v>
      </c>
      <c r="O20" s="37"/>
      <c r="P20" s="41"/>
    </row>
    <row r="21" spans="2:16">
      <c r="B21" t="s">
        <v>60</v>
      </c>
      <c r="C21" s="9"/>
      <c r="G21" s="10"/>
      <c r="H21" s="10">
        <f>Input!O48</f>
        <v>0</v>
      </c>
      <c r="I21" s="10"/>
      <c r="J21" s="2" t="s">
        <v>23</v>
      </c>
      <c r="O21" s="42"/>
      <c r="P21" s="121" t="s">
        <v>11</v>
      </c>
    </row>
    <row r="22" spans="2:16">
      <c r="B22" t="s">
        <v>81</v>
      </c>
      <c r="G22" s="16"/>
      <c r="H22" s="16">
        <f>-(Input!S25-'JE''s'!G24)</f>
        <v>5058253</v>
      </c>
      <c r="J22" s="2" t="s">
        <v>61</v>
      </c>
      <c r="O22" s="42" t="s">
        <v>64</v>
      </c>
      <c r="P22" s="122">
        <f>+H22-G24</f>
        <v>5058253</v>
      </c>
    </row>
    <row r="23" spans="2:16" ht="15.75" thickBot="1">
      <c r="B23" t="s">
        <v>20</v>
      </c>
      <c r="H23" s="12">
        <f>+G8</f>
        <v>0</v>
      </c>
      <c r="J23" s="2" t="s">
        <v>24</v>
      </c>
      <c r="O23" s="48" t="s">
        <v>65</v>
      </c>
      <c r="P23" s="123">
        <f>+H23+H25</f>
        <v>0</v>
      </c>
    </row>
    <row r="24" spans="2:16">
      <c r="B24" t="s">
        <v>25</v>
      </c>
      <c r="G24" s="53">
        <f>+Input!I9-'JE''s'!G8</f>
        <v>0</v>
      </c>
      <c r="H24" s="12"/>
      <c r="J24" s="2" t="s">
        <v>54</v>
      </c>
    </row>
    <row r="25" spans="2:16">
      <c r="B25" t="s">
        <v>0</v>
      </c>
      <c r="H25" s="12">
        <f>G24</f>
        <v>0</v>
      </c>
    </row>
    <row r="26" spans="2:16">
      <c r="B26" s="75" t="s">
        <v>47</v>
      </c>
      <c r="C26" s="75"/>
      <c r="D26" s="75"/>
      <c r="G26" s="68"/>
      <c r="H26" s="12"/>
    </row>
    <row r="28" spans="2:16">
      <c r="B28" t="s">
        <v>21</v>
      </c>
      <c r="G28" s="66"/>
      <c r="H28" s="8"/>
      <c r="J28" s="67"/>
    </row>
    <row r="29" spans="2:16">
      <c r="B29" t="s">
        <v>0</v>
      </c>
      <c r="G29" s="19"/>
      <c r="H29" s="82">
        <f>+G28</f>
        <v>0</v>
      </c>
    </row>
    <row r="30" spans="2:16">
      <c r="B30" s="11"/>
      <c r="G30" s="10">
        <f>SUM(G17:G27)</f>
        <v>21096814</v>
      </c>
      <c r="H30" s="10">
        <f>SUM(H17:H27)</f>
        <v>-7586506</v>
      </c>
      <c r="J30" s="17">
        <f>IF(G30&gt;H30,G30-H30,H30-G30)</f>
        <v>28683320</v>
      </c>
      <c r="K30" s="51" t="s">
        <v>48</v>
      </c>
    </row>
    <row r="31" spans="2:16">
      <c r="B31" s="2"/>
      <c r="G31" s="4"/>
      <c r="H31" s="4"/>
      <c r="K31" s="51" t="s">
        <v>49</v>
      </c>
    </row>
    <row r="32" spans="2:16">
      <c r="G32" s="4"/>
      <c r="H32" s="4"/>
      <c r="K32" s="51" t="s">
        <v>50</v>
      </c>
    </row>
    <row r="34" spans="10:11">
      <c r="J34" s="141">
        <f>ROUND(SUM(Input!M43:O43),0)</f>
        <v>0</v>
      </c>
      <c r="K34" s="142" t="s">
        <v>66</v>
      </c>
    </row>
    <row r="35" spans="10:11">
      <c r="J35" s="143">
        <f>+J30-J34</f>
        <v>28683320</v>
      </c>
      <c r="K35" s="142" t="s">
        <v>67</v>
      </c>
    </row>
  </sheetData>
  <mergeCells count="1">
    <mergeCell ref="A1:Q1"/>
  </mergeCells>
  <pageMargins left="0.7" right="0.7" top="0.75" bottom="0.75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4"/>
  <sheetViews>
    <sheetView zoomScaleNormal="100" workbookViewId="0">
      <selection activeCell="B6" sqref="B6"/>
    </sheetView>
  </sheetViews>
  <sheetFormatPr defaultRowHeight="15"/>
  <cols>
    <col min="2" max="2" width="12.7109375" bestFit="1" customWidth="1"/>
    <col min="3" max="3" width="10.42578125" bestFit="1" customWidth="1"/>
    <col min="7" max="7" width="12.28515625" bestFit="1" customWidth="1"/>
    <col min="8" max="8" width="12.85546875" bestFit="1" customWidth="1"/>
    <col min="12" max="12" width="12.7109375" bestFit="1" customWidth="1"/>
    <col min="13" max="13" width="13.140625" customWidth="1"/>
  </cols>
  <sheetData>
    <row r="1" spans="1:14" ht="22.5">
      <c r="A1" s="139" t="s">
        <v>93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22.5">
      <c r="A2" s="139" t="s">
        <v>94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9" spans="1:14">
      <c r="K9" s="137" t="s">
        <v>45</v>
      </c>
      <c r="L9" s="137"/>
      <c r="M9" s="137"/>
      <c r="N9" s="137"/>
    </row>
    <row r="10" spans="1:14">
      <c r="I10" s="54"/>
      <c r="K10" s="78" t="s">
        <v>63</v>
      </c>
      <c r="L10" s="58">
        <f>-Input!U20</f>
        <v>98314287</v>
      </c>
      <c r="M10" s="78"/>
      <c r="N10" s="78"/>
    </row>
    <row r="11" spans="1:14">
      <c r="I11" s="54"/>
      <c r="K11" s="78" t="s">
        <v>32</v>
      </c>
      <c r="L11" s="59" t="str">
        <f>IF(Input!U28&lt;0,-Input!U28,"")</f>
        <v/>
      </c>
      <c r="M11" s="34">
        <f>IF(Input!U28&gt;0,Input!U28,"")</f>
        <v>23625066</v>
      </c>
      <c r="N11" s="34"/>
    </row>
    <row r="12" spans="1:14">
      <c r="I12" s="54"/>
      <c r="K12" s="34"/>
      <c r="L12" s="56"/>
      <c r="M12" s="34"/>
      <c r="N12" s="34"/>
    </row>
    <row r="13" spans="1:14">
      <c r="I13" s="54"/>
      <c r="K13" s="60"/>
      <c r="L13" s="61"/>
      <c r="M13" s="60"/>
      <c r="N13" s="60"/>
    </row>
    <row r="14" spans="1:14">
      <c r="I14" s="54"/>
      <c r="K14" s="34"/>
      <c r="L14" s="59">
        <f>SUM(L10:L13)</f>
        <v>98314287</v>
      </c>
      <c r="M14" s="112">
        <f>SUM(M10:M13)</f>
        <v>23625066</v>
      </c>
      <c r="N14" s="57"/>
    </row>
    <row r="15" spans="1:14">
      <c r="I15" s="54"/>
      <c r="K15" s="34"/>
      <c r="L15" s="56"/>
      <c r="M15" s="34"/>
      <c r="N15" s="34"/>
    </row>
    <row r="16" spans="1:14">
      <c r="I16" s="54"/>
      <c r="K16" s="34"/>
      <c r="L16" s="56">
        <f>+L14-M14</f>
        <v>74689221</v>
      </c>
      <c r="M16" s="34"/>
      <c r="N16" s="34"/>
    </row>
    <row r="17" spans="1:14">
      <c r="I17" s="54"/>
      <c r="K17" s="34"/>
      <c r="L17" s="56"/>
      <c r="M17" s="34"/>
      <c r="N17" s="34"/>
    </row>
    <row r="20" spans="1:14">
      <c r="A20" s="138" t="s">
        <v>27</v>
      </c>
      <c r="B20" s="138"/>
      <c r="C20" s="138"/>
      <c r="D20" s="138"/>
      <c r="E20" s="54"/>
      <c r="F20" s="138" t="s">
        <v>27</v>
      </c>
      <c r="G20" s="138"/>
      <c r="H20" s="138"/>
      <c r="I20" s="138"/>
      <c r="J20" s="54"/>
      <c r="K20" s="138" t="s">
        <v>27</v>
      </c>
      <c r="L20" s="138"/>
      <c r="M20" s="138"/>
      <c r="N20" s="138"/>
    </row>
    <row r="21" spans="1:14">
      <c r="A21" s="137" t="s">
        <v>28</v>
      </c>
      <c r="B21" s="137"/>
      <c r="C21" s="137"/>
      <c r="D21" s="137"/>
      <c r="E21" s="54"/>
      <c r="F21" s="137" t="s">
        <v>29</v>
      </c>
      <c r="G21" s="137"/>
      <c r="H21" s="137"/>
      <c r="I21" s="137"/>
      <c r="J21" s="54"/>
      <c r="K21" s="140" t="s">
        <v>82</v>
      </c>
      <c r="L21" s="137"/>
      <c r="M21" s="137"/>
      <c r="N21" s="137"/>
    </row>
    <row r="22" spans="1:14">
      <c r="A22" s="78" t="s">
        <v>63</v>
      </c>
      <c r="B22" s="58" t="str">
        <f>IF((Input!I20+'JE''s'!G8)&gt;0,'JE''s'!G8+Input!I20,"")</f>
        <v/>
      </c>
      <c r="C22" t="str">
        <f>IF((Input!I20+'JE''s'!G8)&lt;0,-(Input!I20+'JE''s'!G8),"")</f>
        <v/>
      </c>
      <c r="E22" s="34"/>
      <c r="F22" s="78" t="s">
        <v>32</v>
      </c>
      <c r="G22" s="118" t="str">
        <f>IF(Input!Q20&lt;0,-Input!Q20,"")</f>
        <v/>
      </c>
      <c r="H22" s="34">
        <f>IF(Input!Q20&gt;0,Input!Q20,"")</f>
        <v>21096814</v>
      </c>
      <c r="I22" s="78" t="s">
        <v>63</v>
      </c>
      <c r="J22" s="34"/>
      <c r="K22" s="78" t="s">
        <v>32</v>
      </c>
      <c r="L22" s="58" t="str">
        <f>IF('JE''s'!G24&gt;0,'JE''s'!G24,"")</f>
        <v/>
      </c>
      <c r="M22" s="34" t="str">
        <f>IF('JE''s'!H24&gt;0,'JE''s'!H24,"")</f>
        <v/>
      </c>
      <c r="N22" s="115"/>
    </row>
    <row r="23" spans="1:14">
      <c r="A23" s="78"/>
      <c r="B23" s="59" t="str">
        <f>IF('JE''s'!G23&gt;0,'JE''s'!G23,"")</f>
        <v/>
      </c>
      <c r="C23" s="78" t="str">
        <f>IF('JE''s'!H23&gt;0,'JE''s'!H23,"")</f>
        <v/>
      </c>
      <c r="D23" s="78" t="s">
        <v>32</v>
      </c>
      <c r="E23" s="34"/>
      <c r="F23" s="34"/>
      <c r="G23" s="59">
        <f>IF(Input!K28&lt;0,-Input!K28,"")</f>
        <v>21096814</v>
      </c>
      <c r="H23" s="115" t="str">
        <f>IF(Input!K28&gt;0,Input!K28,"")</f>
        <v/>
      </c>
      <c r="J23" s="34"/>
      <c r="K23" s="74"/>
      <c r="L23" s="59" t="str">
        <f>IF('JE''s'!G22&lt;0,'JE''s'!G22,"")</f>
        <v/>
      </c>
      <c r="M23" s="34">
        <f>IF('JE''s'!H22&gt;0,'JE''s'!H22,"")</f>
        <v>5058253</v>
      </c>
      <c r="N23" s="78" t="s">
        <v>32</v>
      </c>
    </row>
    <row r="24" spans="1:14">
      <c r="A24" s="34"/>
      <c r="B24" s="59">
        <f>IF(Input!E28&gt;0,Input!E28,"")</f>
        <v>36269825</v>
      </c>
      <c r="C24" s="74" t="str">
        <f>IF(Input!E28&lt;0,-Input!E28,"")</f>
        <v/>
      </c>
      <c r="D24" t="s">
        <v>32</v>
      </c>
      <c r="E24" s="34"/>
      <c r="G24" s="73"/>
      <c r="H24" s="34"/>
      <c r="I24" s="34"/>
      <c r="J24" s="34"/>
      <c r="K24" s="34"/>
      <c r="L24" s="56"/>
      <c r="M24" s="34"/>
      <c r="N24" s="34"/>
    </row>
    <row r="25" spans="1:14">
      <c r="A25" s="34"/>
      <c r="B25" s="56"/>
      <c r="C25" s="34"/>
      <c r="E25" s="34"/>
      <c r="F25" s="34"/>
      <c r="G25" s="56"/>
      <c r="J25" s="34"/>
      <c r="K25" s="34"/>
      <c r="L25" s="56"/>
      <c r="M25" s="34"/>
      <c r="N25" s="34"/>
    </row>
    <row r="26" spans="1:14">
      <c r="A26" s="34"/>
      <c r="B26" s="56"/>
      <c r="C26" s="34"/>
      <c r="D26" s="34"/>
      <c r="E26" s="34"/>
      <c r="F26" s="34"/>
      <c r="G26" s="56"/>
      <c r="H26" s="34"/>
      <c r="I26" s="34"/>
      <c r="J26" s="34"/>
      <c r="K26" s="60"/>
      <c r="L26" s="61"/>
      <c r="M26" s="60"/>
      <c r="N26" s="60"/>
    </row>
    <row r="27" spans="1:14">
      <c r="A27" s="34"/>
      <c r="B27" s="59"/>
      <c r="C27" s="34"/>
      <c r="D27" s="34"/>
      <c r="E27" s="34"/>
      <c r="F27" s="57"/>
      <c r="G27" s="62"/>
      <c r="H27" s="116"/>
      <c r="I27" s="57"/>
      <c r="J27" s="34"/>
      <c r="K27" s="34"/>
      <c r="L27" s="119">
        <f>SUM(L22:L26)</f>
        <v>0</v>
      </c>
      <c r="M27" s="34">
        <f>SUM(M22:M26)</f>
        <v>5058253</v>
      </c>
      <c r="N27" s="34"/>
    </row>
    <row r="28" spans="1:14">
      <c r="A28" s="60"/>
      <c r="B28" s="61"/>
      <c r="C28" s="60"/>
      <c r="D28" s="60"/>
      <c r="E28" s="34"/>
      <c r="F28" s="60"/>
      <c r="G28" s="61"/>
      <c r="H28" s="60"/>
      <c r="I28" s="60"/>
      <c r="J28" s="34"/>
      <c r="K28" s="34"/>
      <c r="L28" s="56"/>
      <c r="M28" s="34"/>
      <c r="N28" s="34"/>
    </row>
    <row r="29" spans="1:14">
      <c r="A29" s="34"/>
      <c r="B29" s="119">
        <f>SUM(B22:B28)</f>
        <v>36269825</v>
      </c>
      <c r="C29" s="34">
        <f>SUM(C22:C28)</f>
        <v>0</v>
      </c>
      <c r="D29" s="34"/>
      <c r="E29" s="34"/>
      <c r="F29" s="34"/>
      <c r="G29" s="119">
        <f>SUM(G22:G28)</f>
        <v>21096814</v>
      </c>
      <c r="H29" s="34">
        <f>SUM(H22:H28)</f>
        <v>21096814</v>
      </c>
      <c r="I29" s="34"/>
      <c r="J29" s="34"/>
      <c r="K29" s="34"/>
      <c r="L29" s="56"/>
      <c r="M29" s="117">
        <f>+M27-L27</f>
        <v>5058253</v>
      </c>
      <c r="N29" s="34"/>
    </row>
    <row r="30" spans="1:14">
      <c r="B30" s="73"/>
      <c r="C30" s="34"/>
      <c r="D30" s="34"/>
      <c r="E30" s="34"/>
      <c r="F30" s="34"/>
      <c r="G30" s="113"/>
      <c r="J30" s="34"/>
      <c r="K30" s="34"/>
      <c r="L30" s="34"/>
      <c r="M30" s="34"/>
      <c r="N30" s="34"/>
    </row>
    <row r="31" spans="1:14">
      <c r="A31" s="78" t="s">
        <v>79</v>
      </c>
      <c r="B31" s="114">
        <f>+B29-C29</f>
        <v>36269825</v>
      </c>
      <c r="G31" s="73"/>
      <c r="H31" s="117">
        <f>+H29-G29</f>
        <v>0</v>
      </c>
      <c r="I31" s="78" t="s">
        <v>79</v>
      </c>
    </row>
    <row r="36" spans="1:14">
      <c r="A36" s="137" t="s">
        <v>30</v>
      </c>
      <c r="B36" s="137"/>
      <c r="C36" s="137"/>
      <c r="D36" s="137"/>
      <c r="F36" s="137" t="s">
        <v>31</v>
      </c>
      <c r="G36" s="137"/>
      <c r="H36" s="137"/>
      <c r="I36" s="137"/>
      <c r="K36" s="138"/>
      <c r="L36" s="138"/>
      <c r="M36" s="138"/>
      <c r="N36" s="138"/>
    </row>
    <row r="37" spans="1:14">
      <c r="A37" s="34"/>
      <c r="B37" s="55"/>
      <c r="C37" s="34">
        <f>+Input!I9</f>
        <v>0</v>
      </c>
      <c r="D37" s="34" t="s">
        <v>33</v>
      </c>
      <c r="E37" s="34"/>
      <c r="F37" s="34" t="s">
        <v>33</v>
      </c>
      <c r="G37" s="58">
        <f>+C37</f>
        <v>0</v>
      </c>
      <c r="H37" s="34"/>
      <c r="I37" s="78"/>
      <c r="J37" s="34"/>
      <c r="K37" s="57"/>
      <c r="L37" s="112"/>
      <c r="M37" s="57"/>
      <c r="N37" s="57"/>
    </row>
    <row r="38" spans="1:14">
      <c r="A38" s="34"/>
      <c r="B38" s="56"/>
      <c r="C38" s="34"/>
      <c r="D38" s="34"/>
      <c r="E38" s="34"/>
      <c r="F38" s="34"/>
      <c r="G38" s="56" t="str">
        <f>IF('JE''s'!G25&gt;0,'JE''s'!G25,"")</f>
        <v/>
      </c>
      <c r="H38" s="34" t="str">
        <f>IF('JE''s'!H25&gt;0,'JE''s'!H25,"")</f>
        <v/>
      </c>
      <c r="I38" s="78" t="s">
        <v>32</v>
      </c>
      <c r="J38" s="34"/>
      <c r="K38" s="57"/>
      <c r="L38" s="62"/>
      <c r="M38" s="57"/>
      <c r="N38" s="57"/>
    </row>
    <row r="39" spans="1:14">
      <c r="A39" s="34"/>
      <c r="B39" s="56"/>
      <c r="C39" s="34"/>
      <c r="D39" s="34"/>
      <c r="E39" s="34"/>
      <c r="F39" s="34"/>
      <c r="G39" s="56"/>
      <c r="H39" s="34"/>
      <c r="I39" s="34"/>
      <c r="J39" s="34"/>
      <c r="K39" s="57"/>
      <c r="L39" s="112"/>
      <c r="M39" s="57"/>
      <c r="N39" s="57"/>
    </row>
    <row r="40" spans="1:14">
      <c r="A40" s="34"/>
      <c r="B40" s="56"/>
      <c r="C40" s="34"/>
      <c r="D40" s="34"/>
      <c r="E40" s="34"/>
      <c r="F40" s="60"/>
      <c r="G40" s="61"/>
      <c r="H40" s="60"/>
      <c r="I40" s="60"/>
      <c r="J40" s="34"/>
      <c r="K40" s="57"/>
      <c r="L40" s="62"/>
      <c r="M40" s="57"/>
      <c r="N40" s="57"/>
    </row>
    <row r="41" spans="1:14">
      <c r="A41" s="34"/>
      <c r="B41" s="56"/>
      <c r="C41" s="34"/>
      <c r="D41" s="34"/>
      <c r="E41" s="34"/>
      <c r="F41" s="34"/>
      <c r="G41" s="119">
        <f>SUM(G37:G40)</f>
        <v>0</v>
      </c>
      <c r="H41" s="34">
        <f>SUM(H37:H40)</f>
        <v>0</v>
      </c>
      <c r="I41" s="34"/>
      <c r="J41" s="34"/>
      <c r="K41" s="57"/>
      <c r="L41" s="62"/>
      <c r="M41" s="57"/>
      <c r="N41" s="57"/>
    </row>
    <row r="42" spans="1:14">
      <c r="A42" s="34"/>
      <c r="B42" s="56"/>
      <c r="C42" s="34"/>
      <c r="D42" s="34"/>
      <c r="E42" s="34"/>
      <c r="F42" s="34"/>
      <c r="G42" s="56"/>
      <c r="H42" s="34"/>
      <c r="I42" s="34"/>
      <c r="J42" s="34"/>
      <c r="K42" s="57"/>
      <c r="L42" s="62"/>
      <c r="M42" s="57"/>
      <c r="N42" s="57"/>
    </row>
    <row r="43" spans="1:14">
      <c r="A43" s="34"/>
      <c r="B43" s="56"/>
      <c r="C43" s="34"/>
      <c r="D43" s="34"/>
      <c r="E43" s="34"/>
      <c r="F43" s="34"/>
      <c r="G43" s="56">
        <f>+G41-H41</f>
        <v>0</v>
      </c>
      <c r="H43" s="34"/>
      <c r="I43" s="34"/>
      <c r="J43" s="34"/>
      <c r="K43" s="57"/>
      <c r="L43" s="62"/>
      <c r="M43" s="57"/>
      <c r="N43" s="57"/>
    </row>
    <row r="44" spans="1:14">
      <c r="A44" s="34"/>
      <c r="B44" s="56"/>
      <c r="C44" s="34"/>
      <c r="D44" s="34"/>
      <c r="E44" s="34"/>
      <c r="F44" s="34"/>
      <c r="G44" s="56"/>
      <c r="H44" s="34"/>
      <c r="I44" s="34"/>
      <c r="J44" s="34"/>
      <c r="K44" s="57"/>
      <c r="L44" s="62"/>
      <c r="M44" s="57"/>
      <c r="N44" s="57"/>
    </row>
    <row r="45" spans="1:14">
      <c r="A45" s="34"/>
      <c r="B45" s="62"/>
      <c r="C45" s="34"/>
      <c r="D45" s="34"/>
      <c r="E45" s="34"/>
      <c r="F45" s="34"/>
      <c r="G45" s="62"/>
      <c r="H45" s="34"/>
      <c r="I45" s="34"/>
      <c r="J45" s="34"/>
      <c r="K45" s="34"/>
      <c r="L45" s="62"/>
      <c r="M45" s="34"/>
      <c r="N45" s="34"/>
    </row>
    <row r="46" spans="1:14">
      <c r="A46" s="34"/>
      <c r="B46" s="62"/>
      <c r="C46" s="34"/>
      <c r="D46" s="34"/>
      <c r="E46" s="34"/>
      <c r="F46" s="34"/>
      <c r="G46" s="62"/>
      <c r="H46" s="34"/>
      <c r="I46" s="34"/>
      <c r="J46" s="34"/>
      <c r="K46" s="34"/>
      <c r="L46" s="62"/>
      <c r="M46" s="34"/>
      <c r="N46" s="34"/>
    </row>
    <row r="47" spans="1:14">
      <c r="A47" s="34"/>
      <c r="B47" s="62"/>
      <c r="C47" s="34"/>
      <c r="D47" s="34"/>
      <c r="E47" s="34"/>
      <c r="F47" s="34"/>
      <c r="G47" s="62"/>
      <c r="H47" s="34"/>
      <c r="I47" s="34"/>
      <c r="J47" s="34"/>
      <c r="K47" s="34"/>
      <c r="L47" s="62"/>
      <c r="M47" s="34"/>
      <c r="N47" s="34"/>
    </row>
    <row r="48" spans="1:14">
      <c r="A48" s="34"/>
      <c r="B48" s="62"/>
      <c r="C48" s="34"/>
      <c r="D48" s="34"/>
      <c r="E48" s="34"/>
      <c r="F48" s="34"/>
      <c r="G48" s="62"/>
      <c r="H48" s="34"/>
      <c r="I48" s="34"/>
      <c r="J48" s="34"/>
      <c r="K48" s="34"/>
      <c r="L48" s="62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57"/>
      <c r="L49" s="57"/>
      <c r="M49" s="57"/>
      <c r="N49" s="57"/>
    </row>
    <row r="50" spans="1:14">
      <c r="A50" t="s">
        <v>78</v>
      </c>
    </row>
    <row r="52" spans="1:14">
      <c r="A52" t="s">
        <v>34</v>
      </c>
    </row>
    <row r="54" spans="1:14">
      <c r="A54" t="s">
        <v>51</v>
      </c>
    </row>
  </sheetData>
  <mergeCells count="12">
    <mergeCell ref="A36:D36"/>
    <mergeCell ref="F36:I36"/>
    <mergeCell ref="K36:N36"/>
    <mergeCell ref="A1:N1"/>
    <mergeCell ref="A2:N2"/>
    <mergeCell ref="K9:N9"/>
    <mergeCell ref="A20:D20"/>
    <mergeCell ref="A21:D21"/>
    <mergeCell ref="F20:I20"/>
    <mergeCell ref="F21:I21"/>
    <mergeCell ref="K20:N20"/>
    <mergeCell ref="K21:N21"/>
  </mergeCells>
  <pageMargins left="0.7" right="0.7" top="0.75" bottom="0.75" header="0.3" footer="0.3"/>
  <pageSetup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89"/>
  <sheetViews>
    <sheetView zoomScale="90" zoomScaleNormal="90" workbookViewId="0">
      <selection activeCell="J84" sqref="J84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6.140625" customWidth="1"/>
    <col min="8" max="8" width="19.85546875" customWidth="1"/>
    <col min="9" max="9" width="16.140625" customWidth="1"/>
    <col min="10" max="10" width="19.85546875" customWidth="1"/>
    <col min="11" max="11" width="16.140625" customWidth="1"/>
    <col min="12" max="12" width="19.85546875" customWidth="1"/>
    <col min="13" max="13" width="3.42578125" customWidth="1"/>
    <col min="14" max="14" width="19.140625" customWidth="1"/>
    <col min="15" max="15" width="3" customWidth="1"/>
    <col min="16" max="16" width="17" customWidth="1"/>
    <col min="18" max="18" width="13.140625" bestFit="1" customWidth="1"/>
    <col min="21" max="21" width="13.140625" bestFit="1" customWidth="1"/>
    <col min="22" max="22" width="11" bestFit="1" customWidth="1"/>
  </cols>
  <sheetData>
    <row r="1" spans="1:21">
      <c r="A1" t="s">
        <v>83</v>
      </c>
      <c r="D1" s="86">
        <f>+N13+N32+N50+N66</f>
        <v>6190276.1999999993</v>
      </c>
      <c r="F1" s="87" t="s">
        <v>68</v>
      </c>
    </row>
    <row r="2" spans="1:21">
      <c r="D2" s="16"/>
      <c r="F2" s="87" t="s">
        <v>69</v>
      </c>
    </row>
    <row r="3" spans="1:21">
      <c r="D3" s="16"/>
    </row>
    <row r="4" spans="1:21">
      <c r="D4" s="16"/>
    </row>
    <row r="5" spans="1:21" ht="19.5">
      <c r="A5" s="88" t="s">
        <v>70</v>
      </c>
    </row>
    <row r="6" spans="1:21">
      <c r="B6">
        <v>5</v>
      </c>
      <c r="D6">
        <v>5</v>
      </c>
      <c r="F6">
        <v>5</v>
      </c>
      <c r="H6">
        <v>5</v>
      </c>
      <c r="J6">
        <v>5</v>
      </c>
    </row>
    <row r="7" spans="1:21" ht="30">
      <c r="B7" s="89">
        <v>2018</v>
      </c>
      <c r="C7" s="90" t="s">
        <v>71</v>
      </c>
      <c r="D7" s="89">
        <v>2019</v>
      </c>
      <c r="E7" s="90" t="s">
        <v>71</v>
      </c>
      <c r="F7" s="89">
        <v>2020</v>
      </c>
      <c r="G7" s="90" t="s">
        <v>71</v>
      </c>
      <c r="H7" s="89">
        <v>2021</v>
      </c>
      <c r="I7" s="90" t="s">
        <v>71</v>
      </c>
      <c r="J7" s="5">
        <v>2022</v>
      </c>
      <c r="K7" s="90" t="s">
        <v>71</v>
      </c>
      <c r="L7" s="5"/>
      <c r="M7" s="5"/>
      <c r="N7" s="5" t="s">
        <v>72</v>
      </c>
      <c r="P7" s="91" t="s">
        <v>73</v>
      </c>
    </row>
    <row r="8" spans="1:21">
      <c r="B8" s="92">
        <v>-4879335</v>
      </c>
      <c r="C8" s="5"/>
      <c r="D8" s="92">
        <v>-4530398</v>
      </c>
      <c r="F8" s="92">
        <v>17897658</v>
      </c>
      <c r="H8" s="92">
        <v>-82421642</v>
      </c>
      <c r="J8" s="92">
        <v>80065358</v>
      </c>
      <c r="L8" s="93"/>
      <c r="M8" s="93"/>
      <c r="N8" s="5"/>
    </row>
    <row r="9" spans="1:21">
      <c r="A9">
        <v>2018</v>
      </c>
      <c r="B9" s="94">
        <f>$B$8/$B$6</f>
        <v>-975867</v>
      </c>
      <c r="C9" s="93">
        <f>+B8-B9</f>
        <v>-3903468</v>
      </c>
      <c r="N9" s="16">
        <f>+B9+D9+F9+H9+J9</f>
        <v>-975867</v>
      </c>
      <c r="P9" s="16">
        <f>+C9+E9+G9+I9+M9</f>
        <v>-3903468</v>
      </c>
    </row>
    <row r="10" spans="1:21">
      <c r="A10">
        <v>2019</v>
      </c>
      <c r="B10" s="94">
        <f>$B$8/$B$6</f>
        <v>-975867</v>
      </c>
      <c r="C10" s="95">
        <f>+C9-B10</f>
        <v>-2927601</v>
      </c>
      <c r="D10" s="94">
        <f>$D$8/$D$6</f>
        <v>-906079.6</v>
      </c>
      <c r="E10" s="96">
        <f>+D8-D10</f>
        <v>-3624318.4</v>
      </c>
      <c r="F10" s="97"/>
      <c r="H10" s="94"/>
      <c r="J10" s="94"/>
      <c r="K10" s="94"/>
      <c r="L10" s="93"/>
      <c r="M10" s="93"/>
      <c r="N10" s="16">
        <f>+B10+D10+F10+H10+J10</f>
        <v>-1881946.6</v>
      </c>
      <c r="P10" s="16">
        <f>+C10+E10+G10+I10+M10</f>
        <v>-6551919.4000000004</v>
      </c>
      <c r="R10" s="16"/>
      <c r="U10" s="16"/>
    </row>
    <row r="11" spans="1:21">
      <c r="A11">
        <v>2020</v>
      </c>
      <c r="B11" s="94">
        <f>$B$8/$B$6</f>
        <v>-975867</v>
      </c>
      <c r="C11" s="95">
        <f>+C10-B11</f>
        <v>-1951734</v>
      </c>
      <c r="D11" s="126">
        <f>$D$8/$D$6</f>
        <v>-906079.6</v>
      </c>
      <c r="E11" s="96">
        <f>+E10-D11</f>
        <v>-2718238.8</v>
      </c>
      <c r="F11" s="127">
        <f>$F$8/$F$6</f>
        <v>3579531.6</v>
      </c>
      <c r="G11" s="96">
        <f>+F8-F11</f>
        <v>14318126.4</v>
      </c>
      <c r="H11" s="94"/>
      <c r="J11" s="94"/>
      <c r="K11" s="94"/>
      <c r="L11" s="93"/>
      <c r="M11" s="93"/>
      <c r="N11" s="16">
        <f>+B11+D11+F11+H11+J11</f>
        <v>1697585</v>
      </c>
      <c r="P11" s="16">
        <f>+C11+E11+G11+I11+M11</f>
        <v>9648153.6000000015</v>
      </c>
    </row>
    <row r="12" spans="1:21">
      <c r="A12">
        <v>2021</v>
      </c>
      <c r="B12" s="94">
        <f>$B$8/$B$6</f>
        <v>-975867</v>
      </c>
      <c r="C12" s="95">
        <f>+C11-B12</f>
        <v>-975867</v>
      </c>
      <c r="D12" s="126">
        <f>$D$8/$D$6</f>
        <v>-906079.6</v>
      </c>
      <c r="E12" s="96">
        <f>+E11-D12</f>
        <v>-1812159.1999999997</v>
      </c>
      <c r="F12" s="127">
        <f>$F$8/$F$6</f>
        <v>3579531.6</v>
      </c>
      <c r="G12" s="96">
        <f>+G11-F12</f>
        <v>10738594.800000001</v>
      </c>
      <c r="H12" s="127">
        <f>$H$8/$H$6</f>
        <v>-16484328.4</v>
      </c>
      <c r="I12" s="96">
        <f>+H8-H12</f>
        <v>-65937313.600000001</v>
      </c>
      <c r="J12" s="94"/>
      <c r="K12" s="94"/>
      <c r="L12" s="93"/>
      <c r="M12" s="93"/>
      <c r="N12" s="16">
        <f>+B12+D12+F12+H12+J12</f>
        <v>-14786743.4</v>
      </c>
      <c r="P12" s="16">
        <f>+C12+E12+G12+I12+M12+K12</f>
        <v>-57986745</v>
      </c>
      <c r="U12" s="16"/>
    </row>
    <row r="13" spans="1:21">
      <c r="A13">
        <v>2022</v>
      </c>
      <c r="B13" s="94">
        <f>$B$8/$B$6</f>
        <v>-975867</v>
      </c>
      <c r="C13" s="93">
        <f>+C12-B13</f>
        <v>0</v>
      </c>
      <c r="D13" s="94">
        <f>$D$8/$D$6</f>
        <v>-906079.6</v>
      </c>
      <c r="E13" s="99">
        <f>+E12-D13</f>
        <v>-906079.59999999974</v>
      </c>
      <c r="F13" s="124">
        <f>$F$8/$F$6</f>
        <v>3579531.6</v>
      </c>
      <c r="G13" s="99">
        <f>+G12-F13</f>
        <v>7159063.2000000011</v>
      </c>
      <c r="H13" s="124">
        <f>$H$8/$H$6</f>
        <v>-16484328.4</v>
      </c>
      <c r="I13" s="99">
        <f>+I12-H13</f>
        <v>-49452985.200000003</v>
      </c>
      <c r="J13" s="124">
        <f>$J$8/$J$6</f>
        <v>16013071.6</v>
      </c>
      <c r="K13" s="130">
        <f>+J8-J13</f>
        <v>64052286.399999999</v>
      </c>
      <c r="L13" s="93"/>
      <c r="M13" s="93"/>
      <c r="N13" s="100">
        <f>+B13+D13+F13+H13+J13</f>
        <v>1226328.1999999993</v>
      </c>
      <c r="P13" s="101">
        <f>+C13+E13+G13+I13+K13+M13</f>
        <v>20852284.799999997</v>
      </c>
    </row>
    <row r="14" spans="1:21">
      <c r="A14">
        <v>2023</v>
      </c>
      <c r="D14" s="94">
        <f>$D$8/$D$6</f>
        <v>-906079.6</v>
      </c>
      <c r="E14" s="16">
        <f>+E13-D14</f>
        <v>0</v>
      </c>
      <c r="F14" s="93">
        <f>$F$8/$F$6</f>
        <v>3579531.6</v>
      </c>
      <c r="G14" s="16">
        <f>+G13-F14</f>
        <v>3579531.600000001</v>
      </c>
      <c r="H14" s="124">
        <f>$H$8/$H$6</f>
        <v>-16484328.4</v>
      </c>
      <c r="I14" s="16">
        <f>+I13-H14</f>
        <v>-32968656.800000004</v>
      </c>
      <c r="J14" s="124">
        <f>$J$8/$J$6</f>
        <v>16013071.6</v>
      </c>
      <c r="K14" s="124">
        <f>+K13-J14</f>
        <v>48039214.799999997</v>
      </c>
      <c r="L14" s="93"/>
      <c r="M14" s="93"/>
      <c r="N14" s="16">
        <f>+B14+D14+F14+H14+J14+L14</f>
        <v>2202195.1999999993</v>
      </c>
      <c r="P14" s="16">
        <f>+C14+E14+G14+I14+K14+M14</f>
        <v>18650089.599999994</v>
      </c>
    </row>
    <row r="15" spans="1:21">
      <c r="A15">
        <v>2024</v>
      </c>
      <c r="D15" s="93"/>
      <c r="F15" s="93">
        <f>$F$8/$F$6</f>
        <v>3579531.6</v>
      </c>
      <c r="G15" s="16">
        <f>+G14-F15</f>
        <v>0</v>
      </c>
      <c r="H15" s="124">
        <f>$H$8/$H$6</f>
        <v>-16484328.4</v>
      </c>
      <c r="I15" s="16">
        <f>+I14-H15</f>
        <v>-16484328.400000004</v>
      </c>
      <c r="J15" s="124">
        <f>$J$8/$J$6</f>
        <v>16013071.6</v>
      </c>
      <c r="K15" s="124">
        <f>+K14-J15</f>
        <v>32026143.199999996</v>
      </c>
      <c r="L15" s="93"/>
      <c r="M15" s="93"/>
      <c r="N15" s="16">
        <f>+B15+D15+F15+H15+J15+L15</f>
        <v>3108274.7999999989</v>
      </c>
      <c r="P15" s="16">
        <f>+C15+E15+G15+I15+M15+K15</f>
        <v>15541814.799999991</v>
      </c>
    </row>
    <row r="16" spans="1:21">
      <c r="A16">
        <v>2025</v>
      </c>
      <c r="D16" s="102"/>
      <c r="F16" s="97"/>
      <c r="H16" s="124">
        <f>$H$8/$H$6</f>
        <v>-16484328.4</v>
      </c>
      <c r="I16" s="16">
        <f>+I15-H16</f>
        <v>0</v>
      </c>
      <c r="J16" s="124">
        <f>$J$8/$J$6</f>
        <v>16013071.6</v>
      </c>
      <c r="K16" s="124">
        <f>+K15-J16</f>
        <v>16013071.599999996</v>
      </c>
      <c r="L16" s="93"/>
      <c r="M16" s="93"/>
      <c r="N16" s="16">
        <f>+B16+D16+F16+H16+J16+L16</f>
        <v>-471256.80000000075</v>
      </c>
      <c r="P16" s="16">
        <f>+C16+E16+G16+I16+M16+K16</f>
        <v>16013071.599999996</v>
      </c>
    </row>
    <row r="17" spans="1:21">
      <c r="A17">
        <v>2026</v>
      </c>
      <c r="B17" s="3"/>
      <c r="D17" s="103"/>
      <c r="F17" s="104"/>
      <c r="H17" s="103"/>
      <c r="J17" s="129">
        <f>$J$8/$J$6</f>
        <v>16013071.6</v>
      </c>
      <c r="K17" s="124">
        <f>+K16-J17</f>
        <v>0</v>
      </c>
      <c r="L17" s="93"/>
      <c r="M17" s="93"/>
      <c r="N17" s="105">
        <f>+B17+D17+F17+H17+J17+L17</f>
        <v>16013071.6</v>
      </c>
      <c r="P17" s="16">
        <f>+C17+E17+G17</f>
        <v>0</v>
      </c>
    </row>
    <row r="18" spans="1:21">
      <c r="D18" s="102"/>
      <c r="F18" s="106"/>
      <c r="H18" s="102"/>
      <c r="J18" s="93"/>
      <c r="K18" s="93"/>
      <c r="L18" s="93"/>
      <c r="M18" s="93"/>
      <c r="N18" s="16"/>
    </row>
    <row r="19" spans="1:21">
      <c r="B19" s="94">
        <f>SUM(B9:B17)</f>
        <v>-4879335</v>
      </c>
      <c r="C19" s="93"/>
      <c r="D19" s="94">
        <f>SUM(D9:D17)</f>
        <v>-4530398</v>
      </c>
      <c r="F19" s="94">
        <f>SUM(F9:F17)</f>
        <v>17897658</v>
      </c>
      <c r="H19" s="94">
        <f>SUM(H9:H17)</f>
        <v>-82421642</v>
      </c>
      <c r="J19" s="94">
        <f>SUM(J9:J17)</f>
        <v>80065358</v>
      </c>
      <c r="K19" s="94"/>
      <c r="L19" s="93"/>
      <c r="M19" s="93"/>
      <c r="N19" s="16">
        <f>SUM(N9:N17)</f>
        <v>6131640.9999999963</v>
      </c>
    </row>
    <row r="21" spans="1:21">
      <c r="D21" s="16">
        <f>+B19+D19</f>
        <v>-9409733</v>
      </c>
    </row>
    <row r="22" spans="1:21">
      <c r="D22" s="16"/>
    </row>
    <row r="23" spans="1:21" ht="19.5">
      <c r="A23" s="88" t="s">
        <v>74</v>
      </c>
    </row>
    <row r="24" spans="1:21" ht="19.5">
      <c r="A24" s="88"/>
    </row>
    <row r="25" spans="1:21">
      <c r="B25">
        <v>1</v>
      </c>
      <c r="D25">
        <v>1</v>
      </c>
      <c r="F25">
        <v>1</v>
      </c>
      <c r="H25">
        <v>1</v>
      </c>
      <c r="J25">
        <v>1</v>
      </c>
      <c r="N25" s="107" t="s">
        <v>75</v>
      </c>
    </row>
    <row r="26" spans="1:21">
      <c r="B26" s="89">
        <v>2018</v>
      </c>
      <c r="C26" s="5"/>
      <c r="D26" s="89">
        <v>2019</v>
      </c>
      <c r="F26" s="89">
        <v>2020</v>
      </c>
      <c r="H26" s="89">
        <v>2021</v>
      </c>
      <c r="I26" s="5"/>
      <c r="J26" s="5">
        <v>2022</v>
      </c>
      <c r="K26" s="5"/>
      <c r="L26" s="5"/>
      <c r="M26" s="5"/>
      <c r="N26" s="5" t="s">
        <v>72</v>
      </c>
    </row>
    <row r="27" spans="1:21">
      <c r="B27" s="108">
        <v>-9182411</v>
      </c>
      <c r="C27" s="5"/>
      <c r="D27" s="108">
        <v>-9593204</v>
      </c>
      <c r="F27" s="92">
        <v>-4019534</v>
      </c>
      <c r="H27" s="92">
        <v>-9815472</v>
      </c>
      <c r="J27" s="92">
        <v>4963948</v>
      </c>
      <c r="K27" s="93"/>
      <c r="L27" s="93"/>
      <c r="M27" s="93"/>
      <c r="N27" s="5"/>
    </row>
    <row r="28" spans="1:21">
      <c r="A28">
        <v>2018</v>
      </c>
      <c r="B28" s="94">
        <f>$B$27/$B$25</f>
        <v>-9182411</v>
      </c>
      <c r="C28" s="93">
        <f>+B27-B28</f>
        <v>0</v>
      </c>
      <c r="D28" s="94"/>
      <c r="N28" s="16">
        <f>+B28+D28+F28+H28+J28</f>
        <v>-9182411</v>
      </c>
    </row>
    <row r="29" spans="1:21">
      <c r="A29">
        <v>2019</v>
      </c>
      <c r="B29" s="94"/>
      <c r="C29" s="95">
        <f>+C28-B29</f>
        <v>0</v>
      </c>
      <c r="D29" s="94">
        <f>$D$27/$D$25</f>
        <v>-9593204</v>
      </c>
      <c r="E29" s="96">
        <f>+D27-D29</f>
        <v>0</v>
      </c>
      <c r="F29" s="97"/>
      <c r="H29" s="94"/>
      <c r="J29" s="94"/>
      <c r="K29" s="124"/>
      <c r="L29" s="93"/>
      <c r="M29" s="93"/>
      <c r="N29" s="16">
        <f t="shared" ref="N29:N36" si="0">+B29+D29+F29+H29+J29</f>
        <v>-9593204</v>
      </c>
      <c r="P29" s="16">
        <f>+C29+E29</f>
        <v>0</v>
      </c>
      <c r="U29" s="16"/>
    </row>
    <row r="30" spans="1:21">
      <c r="A30">
        <v>2020</v>
      </c>
      <c r="B30" s="94"/>
      <c r="C30" s="98">
        <f>+C29-B30</f>
        <v>0</v>
      </c>
      <c r="D30" s="94"/>
      <c r="E30" s="99">
        <f>+E29-D30</f>
        <v>0</v>
      </c>
      <c r="F30" s="124">
        <f>$F$27/$F$25</f>
        <v>-4019534</v>
      </c>
      <c r="G30" s="99">
        <f>+F27-F30</f>
        <v>0</v>
      </c>
      <c r="H30" s="94"/>
      <c r="J30" s="94"/>
      <c r="K30" s="124"/>
      <c r="L30" s="93"/>
      <c r="M30" s="93"/>
      <c r="N30" s="16">
        <f t="shared" si="0"/>
        <v>-4019534</v>
      </c>
      <c r="P30" s="16">
        <f>+C30+E30+G30</f>
        <v>0</v>
      </c>
    </row>
    <row r="31" spans="1:21">
      <c r="A31">
        <v>2021</v>
      </c>
      <c r="B31" s="94"/>
      <c r="C31" s="93">
        <f>+C30-B31</f>
        <v>0</v>
      </c>
      <c r="D31" s="94"/>
      <c r="E31" s="16">
        <f>+E30-D31</f>
        <v>0</v>
      </c>
      <c r="F31" s="124"/>
      <c r="G31" s="16">
        <f>+G30-F31</f>
        <v>0</v>
      </c>
      <c r="H31" s="124">
        <f>$H$27/$H$25</f>
        <v>-9815472</v>
      </c>
      <c r="J31" s="94"/>
      <c r="K31" s="124"/>
      <c r="L31" s="93"/>
      <c r="M31" s="93"/>
      <c r="N31" s="16">
        <f t="shared" si="0"/>
        <v>-9815472</v>
      </c>
      <c r="P31" s="16">
        <f t="shared" ref="P31:P37" si="1">+C31+E31+G31</f>
        <v>0</v>
      </c>
    </row>
    <row r="32" spans="1:21">
      <c r="A32">
        <v>2022</v>
      </c>
      <c r="B32" s="94"/>
      <c r="C32" s="93">
        <f>+C31-B32</f>
        <v>0</v>
      </c>
      <c r="D32" s="94"/>
      <c r="E32" s="16">
        <f>+E31-D32</f>
        <v>0</v>
      </c>
      <c r="F32" s="124"/>
      <c r="G32" s="16">
        <f>+G31-F32</f>
        <v>0</v>
      </c>
      <c r="H32" s="125"/>
      <c r="J32" s="124">
        <f>$J$27/$J$25</f>
        <v>4963948</v>
      </c>
      <c r="K32" s="125"/>
      <c r="L32" s="109"/>
      <c r="M32" s="109"/>
      <c r="N32" s="100">
        <f t="shared" si="0"/>
        <v>4963948</v>
      </c>
      <c r="P32" s="101">
        <f t="shared" si="1"/>
        <v>0</v>
      </c>
    </row>
    <row r="33" spans="1:16">
      <c r="A33">
        <v>2023</v>
      </c>
      <c r="B33" s="102"/>
      <c r="C33" s="93">
        <f>+C32-B33</f>
        <v>0</v>
      </c>
      <c r="D33" s="94"/>
      <c r="E33" s="16">
        <f>+E32-D33</f>
        <v>0</v>
      </c>
      <c r="F33" s="124"/>
      <c r="G33" s="16">
        <f>+G32-F33</f>
        <v>0</v>
      </c>
      <c r="H33" s="125"/>
      <c r="J33" s="125"/>
      <c r="K33" s="125"/>
      <c r="L33" s="109"/>
      <c r="M33" s="109"/>
      <c r="N33" s="16">
        <f t="shared" si="0"/>
        <v>0</v>
      </c>
      <c r="P33" s="16">
        <f t="shared" si="1"/>
        <v>0</v>
      </c>
    </row>
    <row r="34" spans="1:16">
      <c r="A34">
        <v>2024</v>
      </c>
      <c r="B34" s="102"/>
      <c r="C34" s="93"/>
      <c r="D34" s="102"/>
      <c r="E34" s="16">
        <f>+E33-D34</f>
        <v>0</v>
      </c>
      <c r="F34" s="124"/>
      <c r="G34" s="16">
        <f>+G33-F34</f>
        <v>0</v>
      </c>
      <c r="H34" s="125"/>
      <c r="J34" s="125"/>
      <c r="K34" s="125"/>
      <c r="L34" s="109"/>
      <c r="M34" s="109"/>
      <c r="N34" s="16">
        <f t="shared" si="0"/>
        <v>0</v>
      </c>
      <c r="P34" s="16">
        <f t="shared" si="1"/>
        <v>0</v>
      </c>
    </row>
    <row r="35" spans="1:16">
      <c r="A35">
        <v>2025</v>
      </c>
      <c r="F35" s="93"/>
      <c r="H35" s="125"/>
      <c r="J35" s="125"/>
      <c r="K35" s="125"/>
      <c r="L35" s="109"/>
      <c r="M35" s="109"/>
      <c r="N35" s="16">
        <f t="shared" si="0"/>
        <v>0</v>
      </c>
      <c r="P35" s="16">
        <f t="shared" si="1"/>
        <v>0</v>
      </c>
    </row>
    <row r="36" spans="1:16">
      <c r="A36">
        <v>2026</v>
      </c>
      <c r="B36" s="94"/>
      <c r="C36" s="93"/>
      <c r="D36" s="94"/>
      <c r="F36" s="97"/>
      <c r="H36" s="93"/>
      <c r="J36" s="125"/>
      <c r="K36" s="125"/>
      <c r="L36" s="109"/>
      <c r="M36" s="109"/>
      <c r="N36" s="16">
        <f t="shared" si="0"/>
        <v>0</v>
      </c>
      <c r="P36" s="16">
        <f t="shared" si="1"/>
        <v>0</v>
      </c>
    </row>
    <row r="37" spans="1:16">
      <c r="A37">
        <v>2027</v>
      </c>
      <c r="B37" s="3"/>
      <c r="D37" s="105"/>
      <c r="F37" s="104"/>
      <c r="H37" s="103"/>
      <c r="J37" s="129"/>
      <c r="K37" s="93"/>
      <c r="L37" s="93"/>
      <c r="M37" s="93"/>
      <c r="N37" s="16">
        <f>+B37+D37</f>
        <v>0</v>
      </c>
      <c r="P37" s="16">
        <f t="shared" si="1"/>
        <v>0</v>
      </c>
    </row>
    <row r="38" spans="1:16">
      <c r="B38" s="94">
        <f>SUM(B28:B33)</f>
        <v>-9182411</v>
      </c>
      <c r="C38" s="93"/>
      <c r="D38" s="94">
        <f>SUM(D28:D34)</f>
        <v>-9593204</v>
      </c>
      <c r="F38" s="94">
        <f>SUM(F28:F37)</f>
        <v>-4019534</v>
      </c>
      <c r="H38" s="94">
        <f>SUM(H28:H37)</f>
        <v>-9815472</v>
      </c>
      <c r="J38" s="94">
        <f>SUM(J28:J37)</f>
        <v>4963948</v>
      </c>
      <c r="K38" s="124"/>
      <c r="L38" s="93"/>
      <c r="M38" s="93"/>
      <c r="N38" s="16">
        <f>SUM(N28:N37)</f>
        <v>-27646673</v>
      </c>
    </row>
    <row r="39" spans="1:16">
      <c r="B39" s="94"/>
      <c r="C39" s="93"/>
      <c r="D39" s="94"/>
      <c r="F39" s="94"/>
      <c r="H39" s="94"/>
      <c r="J39" s="94"/>
      <c r="K39" s="124"/>
      <c r="L39" s="93"/>
      <c r="M39" s="93"/>
      <c r="N39" s="16"/>
    </row>
    <row r="40" spans="1:16">
      <c r="B40" s="94"/>
      <c r="C40" s="93"/>
      <c r="D40" s="94"/>
      <c r="F40" s="94"/>
      <c r="H40" s="94"/>
      <c r="J40" s="94"/>
      <c r="K40" s="124"/>
      <c r="L40" s="93"/>
      <c r="M40" s="93"/>
    </row>
    <row r="41" spans="1:16">
      <c r="B41" s="94"/>
      <c r="C41" s="93"/>
      <c r="D41" s="94"/>
      <c r="F41" s="94"/>
      <c r="H41" s="94"/>
      <c r="J41" s="94"/>
      <c r="K41" s="124"/>
      <c r="L41" s="93"/>
      <c r="M41" s="93"/>
    </row>
    <row r="42" spans="1:16" ht="19.5">
      <c r="A42" s="88" t="s">
        <v>76</v>
      </c>
    </row>
    <row r="43" spans="1:16">
      <c r="B43">
        <v>1</v>
      </c>
      <c r="D43">
        <v>1</v>
      </c>
      <c r="F43">
        <v>1</v>
      </c>
      <c r="H43">
        <v>1</v>
      </c>
      <c r="J43">
        <v>1</v>
      </c>
      <c r="N43" s="107" t="s">
        <v>75</v>
      </c>
    </row>
    <row r="44" spans="1:16">
      <c r="B44" s="89">
        <v>2018</v>
      </c>
      <c r="C44" s="5"/>
      <c r="D44" s="89">
        <v>2019</v>
      </c>
      <c r="F44" s="89">
        <v>2020</v>
      </c>
      <c r="H44" s="89">
        <v>2021</v>
      </c>
      <c r="I44" s="5"/>
      <c r="J44" s="5">
        <v>2022</v>
      </c>
      <c r="K44" s="5"/>
      <c r="L44" s="5"/>
      <c r="M44" s="5"/>
      <c r="N44" s="5" t="s">
        <v>72</v>
      </c>
    </row>
    <row r="45" spans="1:16">
      <c r="B45" s="110">
        <v>1386562</v>
      </c>
      <c r="C45" s="4"/>
      <c r="D45" s="92">
        <v>0</v>
      </c>
      <c r="F45" s="92">
        <v>0</v>
      </c>
      <c r="H45" s="92">
        <v>-16003571</v>
      </c>
      <c r="J45" s="92">
        <v>0</v>
      </c>
      <c r="K45" s="93"/>
      <c r="L45" s="93"/>
      <c r="M45" s="93"/>
      <c r="N45" s="5"/>
    </row>
    <row r="46" spans="1:16">
      <c r="A46">
        <v>2018</v>
      </c>
      <c r="B46" s="94">
        <f>$B$45/$B$43</f>
        <v>1386562</v>
      </c>
      <c r="C46" s="93">
        <f>+B45-B46</f>
        <v>0</v>
      </c>
      <c r="N46" s="16">
        <f t="shared" ref="N46:N55" si="2">+B46+D46+F46+H46+J46</f>
        <v>1386562</v>
      </c>
    </row>
    <row r="47" spans="1:16">
      <c r="A47">
        <v>2019</v>
      </c>
      <c r="B47" s="94"/>
      <c r="C47" s="95"/>
      <c r="D47" s="97">
        <v>0</v>
      </c>
      <c r="F47" s="97"/>
      <c r="H47" s="94"/>
      <c r="J47" s="94"/>
      <c r="K47" s="124"/>
      <c r="L47" s="93"/>
      <c r="M47" s="93"/>
      <c r="N47" s="16">
        <f t="shared" si="2"/>
        <v>0</v>
      </c>
      <c r="P47" s="16">
        <f>+C47+E47</f>
        <v>0</v>
      </c>
    </row>
    <row r="48" spans="1:16">
      <c r="A48">
        <v>2020</v>
      </c>
      <c r="B48" s="94"/>
      <c r="C48" s="98"/>
      <c r="D48" s="124">
        <v>0</v>
      </c>
      <c r="F48" s="124">
        <f>$F$45/$F$43</f>
        <v>0</v>
      </c>
      <c r="G48" s="99">
        <f>+F45-F48</f>
        <v>0</v>
      </c>
      <c r="H48" s="124"/>
      <c r="J48" s="94"/>
      <c r="K48" s="124"/>
      <c r="L48" s="93"/>
      <c r="M48" s="93"/>
      <c r="N48" s="16">
        <f t="shared" si="2"/>
        <v>0</v>
      </c>
      <c r="P48" s="16">
        <f>+C48+E48+G48</f>
        <v>0</v>
      </c>
    </row>
    <row r="49" spans="1:16">
      <c r="A49">
        <v>2021</v>
      </c>
      <c r="B49" s="94"/>
      <c r="C49" s="93"/>
      <c r="D49" s="124">
        <v>0</v>
      </c>
      <c r="F49" s="124"/>
      <c r="G49" s="16"/>
      <c r="H49" s="125">
        <f>$H$45/$H$43</f>
        <v>-16003571</v>
      </c>
      <c r="J49" s="94"/>
      <c r="K49" s="124"/>
      <c r="L49" s="93"/>
      <c r="M49" s="93"/>
      <c r="N49" s="16">
        <f t="shared" si="2"/>
        <v>-16003571</v>
      </c>
      <c r="P49" s="16">
        <f t="shared" ref="P49:P55" si="3">+C49+E49+G49</f>
        <v>0</v>
      </c>
    </row>
    <row r="50" spans="1:16">
      <c r="A50">
        <v>2022</v>
      </c>
      <c r="B50" s="94"/>
      <c r="C50" s="93"/>
      <c r="D50" s="124">
        <v>0</v>
      </c>
      <c r="F50" s="124"/>
      <c r="G50" s="16"/>
      <c r="H50" s="125"/>
      <c r="J50" s="124">
        <f>$J$45/$J$43</f>
        <v>0</v>
      </c>
      <c r="K50" s="125">
        <v>0</v>
      </c>
      <c r="L50" s="109"/>
      <c r="M50" s="109"/>
      <c r="N50" s="100">
        <f t="shared" si="2"/>
        <v>0</v>
      </c>
      <c r="P50" s="101">
        <f t="shared" si="3"/>
        <v>0</v>
      </c>
    </row>
    <row r="51" spans="1:16">
      <c r="A51">
        <v>2023</v>
      </c>
      <c r="B51" s="102"/>
      <c r="C51" s="93"/>
      <c r="D51" s="124">
        <v>0</v>
      </c>
      <c r="F51" s="124"/>
      <c r="G51" s="16"/>
      <c r="H51" s="125"/>
      <c r="J51" s="125"/>
      <c r="K51" s="125"/>
      <c r="L51" s="109"/>
      <c r="M51" s="109"/>
      <c r="N51" s="16">
        <f t="shared" si="2"/>
        <v>0</v>
      </c>
      <c r="P51" s="16">
        <f t="shared" si="3"/>
        <v>0</v>
      </c>
    </row>
    <row r="52" spans="1:16">
      <c r="A52">
        <v>2024</v>
      </c>
      <c r="B52" s="102"/>
      <c r="C52" s="93"/>
      <c r="D52" s="124">
        <v>0</v>
      </c>
      <c r="F52" s="124"/>
      <c r="G52" s="16"/>
      <c r="H52" s="125"/>
      <c r="J52" s="125"/>
      <c r="K52" s="125"/>
      <c r="L52" s="109"/>
      <c r="M52" s="109"/>
      <c r="N52" s="16">
        <f t="shared" si="2"/>
        <v>0</v>
      </c>
      <c r="P52" s="16">
        <f t="shared" si="3"/>
        <v>0</v>
      </c>
    </row>
    <row r="53" spans="1:16">
      <c r="A53">
        <v>2025</v>
      </c>
      <c r="B53" s="102"/>
      <c r="C53" s="93"/>
      <c r="F53" s="93"/>
      <c r="H53" s="125"/>
      <c r="J53" s="125"/>
      <c r="K53" s="125"/>
      <c r="L53" s="109"/>
      <c r="M53" s="109"/>
      <c r="N53" s="16">
        <f t="shared" si="2"/>
        <v>0</v>
      </c>
      <c r="P53" s="16">
        <f t="shared" si="3"/>
        <v>0</v>
      </c>
    </row>
    <row r="54" spans="1:16">
      <c r="A54">
        <v>2026</v>
      </c>
      <c r="B54" s="102"/>
      <c r="C54" s="93"/>
      <c r="F54" s="125"/>
      <c r="H54" s="93"/>
      <c r="J54" s="125"/>
      <c r="K54" s="125"/>
      <c r="L54" s="109"/>
      <c r="M54" s="109"/>
      <c r="N54" s="16">
        <f t="shared" si="2"/>
        <v>0</v>
      </c>
      <c r="P54" s="16">
        <f t="shared" si="3"/>
        <v>0</v>
      </c>
    </row>
    <row r="55" spans="1:16">
      <c r="A55">
        <v>2027</v>
      </c>
      <c r="B55" s="103"/>
      <c r="C55" s="93"/>
      <c r="D55" s="3"/>
      <c r="F55" s="104"/>
      <c r="H55" s="103"/>
      <c r="J55" s="129"/>
      <c r="K55" s="93"/>
      <c r="L55" s="93"/>
      <c r="M55" s="93"/>
      <c r="N55" s="16">
        <f t="shared" si="2"/>
        <v>0</v>
      </c>
      <c r="P55" s="16">
        <f t="shared" si="3"/>
        <v>0</v>
      </c>
    </row>
    <row r="56" spans="1:16">
      <c r="B56" s="94">
        <f>SUM(B46:B55)</f>
        <v>1386562</v>
      </c>
      <c r="C56" s="93"/>
      <c r="D56" s="94">
        <f>SUM(D46:D55)</f>
        <v>0</v>
      </c>
      <c r="F56" s="94">
        <f>SUM(F46:F55)</f>
        <v>0</v>
      </c>
      <c r="H56" s="94">
        <f>SUM(H46:H55)</f>
        <v>-16003571</v>
      </c>
      <c r="J56" s="94">
        <f>SUM(J46:J55)</f>
        <v>0</v>
      </c>
      <c r="K56" s="94"/>
      <c r="L56" s="93"/>
      <c r="M56" s="93"/>
      <c r="N56" s="132">
        <f>SUM(N46:N55)</f>
        <v>-14617009</v>
      </c>
    </row>
    <row r="58" spans="1:16">
      <c r="A58" t="s">
        <v>47</v>
      </c>
    </row>
    <row r="59" spans="1:16">
      <c r="B59">
        <v>1</v>
      </c>
      <c r="D59">
        <v>1</v>
      </c>
      <c r="F59">
        <v>1</v>
      </c>
      <c r="H59">
        <v>1</v>
      </c>
      <c r="J59">
        <v>1</v>
      </c>
      <c r="N59" s="107"/>
    </row>
    <row r="60" spans="1:16">
      <c r="B60" s="89">
        <v>2018</v>
      </c>
      <c r="C60" s="5"/>
      <c r="D60" s="89">
        <v>2019</v>
      </c>
      <c r="F60" s="89">
        <v>2020</v>
      </c>
      <c r="H60" s="89">
        <v>2021</v>
      </c>
      <c r="I60" s="5"/>
      <c r="J60" s="5">
        <v>2022</v>
      </c>
      <c r="K60" s="5"/>
      <c r="L60" s="5"/>
      <c r="N60" s="5" t="s">
        <v>72</v>
      </c>
    </row>
    <row r="61" spans="1:16">
      <c r="B61" s="110">
        <v>0</v>
      </c>
      <c r="C61" s="5"/>
      <c r="D61" s="92">
        <v>0</v>
      </c>
      <c r="F61" s="92">
        <v>0</v>
      </c>
      <c r="H61" s="92">
        <v>0</v>
      </c>
      <c r="J61" s="92">
        <v>0</v>
      </c>
      <c r="K61" s="93"/>
      <c r="L61" s="93"/>
      <c r="N61" s="5"/>
    </row>
    <row r="62" spans="1:16">
      <c r="A62">
        <v>2018</v>
      </c>
      <c r="B62" s="94">
        <v>0</v>
      </c>
      <c r="C62" s="93"/>
      <c r="D62" s="93"/>
      <c r="E62" s="93"/>
      <c r="N62" s="16"/>
    </row>
    <row r="63" spans="1:16">
      <c r="A63">
        <v>2019</v>
      </c>
      <c r="B63" s="93"/>
      <c r="C63" s="93"/>
      <c r="D63" s="124">
        <f>$D$61/$D$59</f>
        <v>0</v>
      </c>
      <c r="F63" s="125"/>
      <c r="H63" s="124"/>
      <c r="J63" s="94"/>
      <c r="K63" s="94"/>
      <c r="L63" s="93"/>
      <c r="N63" s="16">
        <f t="shared" ref="N63:N72" si="4">SUM(B63:J63)</f>
        <v>0</v>
      </c>
      <c r="P63" s="16">
        <f>SUM(N63:N67)</f>
        <v>0</v>
      </c>
    </row>
    <row r="64" spans="1:16">
      <c r="A64">
        <v>2020</v>
      </c>
      <c r="B64" s="93"/>
      <c r="C64" s="93"/>
      <c r="D64" s="124">
        <f>$D$61/$D$59</f>
        <v>0</v>
      </c>
      <c r="F64" s="124">
        <f>$F$61/$F$59</f>
        <v>0</v>
      </c>
      <c r="H64" s="124"/>
      <c r="J64" s="94"/>
      <c r="K64" s="94"/>
      <c r="L64" s="93"/>
      <c r="N64" s="16">
        <f t="shared" si="4"/>
        <v>0</v>
      </c>
    </row>
    <row r="65" spans="1:16">
      <c r="A65">
        <v>2021</v>
      </c>
      <c r="B65" s="93"/>
      <c r="C65" s="93"/>
      <c r="D65" s="124">
        <f>$D$61/$D$59</f>
        <v>0</v>
      </c>
      <c r="F65" s="124">
        <f>$F$61/$F$59</f>
        <v>0</v>
      </c>
      <c r="H65" s="125">
        <f>$H$61/$H$59</f>
        <v>0</v>
      </c>
      <c r="J65" s="94"/>
      <c r="K65" s="94"/>
      <c r="L65" s="93"/>
      <c r="N65" s="16">
        <f t="shared" si="4"/>
        <v>0</v>
      </c>
    </row>
    <row r="66" spans="1:16">
      <c r="A66">
        <v>2022</v>
      </c>
      <c r="B66" s="93"/>
      <c r="C66" s="93"/>
      <c r="D66" s="124">
        <f>$D$61/$D$59</f>
        <v>0</v>
      </c>
      <c r="F66" s="124">
        <f>$F$61/$F$59</f>
        <v>0</v>
      </c>
      <c r="H66" s="125">
        <f>$H$61/$H$59</f>
        <v>0</v>
      </c>
      <c r="J66" s="125">
        <f>$J$61/$J$59</f>
        <v>0</v>
      </c>
      <c r="K66" s="125"/>
      <c r="L66" s="109"/>
      <c r="N66" s="16">
        <f t="shared" si="4"/>
        <v>0</v>
      </c>
    </row>
    <row r="67" spans="1:16">
      <c r="A67">
        <v>2023</v>
      </c>
      <c r="B67" s="93"/>
      <c r="C67" s="93"/>
      <c r="D67" s="124">
        <f>$D$61/$D$59</f>
        <v>0</v>
      </c>
      <c r="F67" s="124">
        <f>$F$61/$F$59</f>
        <v>0</v>
      </c>
      <c r="H67" s="125">
        <f>$H$61/$H$59</f>
        <v>0</v>
      </c>
      <c r="J67" s="125"/>
      <c r="K67" s="125"/>
      <c r="L67" s="109"/>
      <c r="N67" s="16"/>
    </row>
    <row r="68" spans="1:16">
      <c r="A68">
        <v>2024</v>
      </c>
      <c r="B68" s="93"/>
      <c r="C68" s="93"/>
      <c r="D68" s="93">
        <f>D61-SUM(D63:D67)</f>
        <v>0</v>
      </c>
      <c r="F68" s="124">
        <f>$F$61/$F$59</f>
        <v>0</v>
      </c>
      <c r="H68" s="125">
        <f>$H$61/$H$59</f>
        <v>0</v>
      </c>
      <c r="J68" s="125"/>
      <c r="K68" s="125"/>
      <c r="L68" s="109"/>
      <c r="N68" s="16"/>
    </row>
    <row r="69" spans="1:16">
      <c r="A69">
        <v>2025</v>
      </c>
      <c r="B69" s="93"/>
      <c r="C69" s="93"/>
      <c r="F69" s="93">
        <f>F61-SUM(F64:F68)</f>
        <v>0</v>
      </c>
      <c r="H69" s="125">
        <f>$H$61/$H$59</f>
        <v>0</v>
      </c>
      <c r="J69" s="125"/>
      <c r="K69" s="125"/>
      <c r="L69" s="109"/>
      <c r="N69" s="16"/>
    </row>
    <row r="70" spans="1:16">
      <c r="A70">
        <v>2026</v>
      </c>
      <c r="B70" s="93"/>
      <c r="C70" s="93"/>
      <c r="F70" s="125"/>
      <c r="H70" s="93">
        <f>H61-SUM(H65:H69)</f>
        <v>0</v>
      </c>
      <c r="J70" s="125"/>
      <c r="K70" s="125"/>
      <c r="L70" s="109"/>
      <c r="N70" s="16"/>
    </row>
    <row r="71" spans="1:16">
      <c r="A71">
        <v>2027</v>
      </c>
      <c r="B71" s="93"/>
      <c r="C71" s="93"/>
      <c r="D71" s="3"/>
      <c r="F71" s="104"/>
      <c r="H71" s="103"/>
      <c r="J71" s="129"/>
      <c r="K71" s="93"/>
      <c r="L71" s="93"/>
      <c r="N71" s="16"/>
    </row>
    <row r="72" spans="1:16">
      <c r="B72" s="93"/>
      <c r="C72" s="93"/>
      <c r="D72" s="93">
        <f>SUM(D62:D68)</f>
        <v>0</v>
      </c>
      <c r="E72" s="93"/>
      <c r="F72" s="94">
        <f>SUM(F62:F71)</f>
        <v>0</v>
      </c>
      <c r="H72" s="94">
        <f>SUM(H62:H71)</f>
        <v>0</v>
      </c>
      <c r="J72" s="94">
        <f>SUM(J62:J71)</f>
        <v>0</v>
      </c>
      <c r="K72" s="94"/>
      <c r="L72" s="94"/>
      <c r="M72" s="93"/>
      <c r="N72" s="16">
        <f t="shared" si="4"/>
        <v>0</v>
      </c>
      <c r="P72" s="111">
        <f>+P13+P32+P50</f>
        <v>20852284.799999997</v>
      </c>
    </row>
    <row r="73" spans="1:16">
      <c r="B73" s="102"/>
      <c r="C73" s="93"/>
      <c r="N73" s="16"/>
    </row>
    <row r="74" spans="1:16">
      <c r="A74" t="s">
        <v>77</v>
      </c>
    </row>
    <row r="75" spans="1:16">
      <c r="B75" s="16"/>
      <c r="C75" s="16"/>
    </row>
    <row r="76" spans="1:16">
      <c r="A76">
        <v>2023</v>
      </c>
      <c r="B76" s="16">
        <f>N14+N33+N51+N67</f>
        <v>2202195.1999999993</v>
      </c>
      <c r="C76" s="16"/>
    </row>
    <row r="77" spans="1:16">
      <c r="A77">
        <v>2024</v>
      </c>
      <c r="B77" s="16">
        <f>N15+N34+N52+N68</f>
        <v>3108274.7999999989</v>
      </c>
      <c r="C77" s="16"/>
    </row>
    <row r="78" spans="1:16">
      <c r="A78">
        <v>2025</v>
      </c>
      <c r="B78" s="16">
        <f>N16+N35+N53+N69</f>
        <v>-471256.80000000075</v>
      </c>
      <c r="C78" s="16"/>
    </row>
    <row r="79" spans="1:16">
      <c r="A79">
        <v>2026</v>
      </c>
      <c r="B79" s="16">
        <f>N17+N36+N54+N70</f>
        <v>16013071.6</v>
      </c>
      <c r="C79" s="16"/>
    </row>
    <row r="80" spans="1:16">
      <c r="B80" s="111">
        <f>SUM(B75:B79)</f>
        <v>20852284.799999997</v>
      </c>
      <c r="C80" s="16"/>
    </row>
    <row r="83" spans="1:12">
      <c r="B83" s="89">
        <v>2018</v>
      </c>
      <c r="C83" s="5"/>
      <c r="D83" s="89">
        <v>2019</v>
      </c>
      <c r="E83" s="5"/>
      <c r="F83" s="89">
        <v>2020</v>
      </c>
      <c r="H83" s="89">
        <v>2021</v>
      </c>
      <c r="J83" s="89">
        <v>2022</v>
      </c>
      <c r="K83" s="5"/>
      <c r="L83" s="89" t="s">
        <v>11</v>
      </c>
    </row>
    <row r="84" spans="1:12">
      <c r="A84">
        <v>2023</v>
      </c>
      <c r="B84" s="16">
        <f>B14+B33+B51+B67</f>
        <v>0</v>
      </c>
      <c r="D84" s="16">
        <f>D14+D33+D51+D67</f>
        <v>-906079.6</v>
      </c>
      <c r="F84" s="16">
        <f>F14+F33+F51+F67</f>
        <v>3579531.6</v>
      </c>
      <c r="H84" s="16">
        <f>H14+H33+H51+H67</f>
        <v>-16484328.4</v>
      </c>
      <c r="J84" s="16">
        <f>J14+J33+J51+J67</f>
        <v>16013071.6</v>
      </c>
      <c r="K84" s="16"/>
      <c r="L84" s="16">
        <f>SUM(B84:K84)</f>
        <v>2202195.1999999993</v>
      </c>
    </row>
    <row r="85" spans="1:12">
      <c r="A85">
        <v>2024</v>
      </c>
      <c r="B85" s="16">
        <f>B15+B34+B52+B68</f>
        <v>0</v>
      </c>
      <c r="D85" s="16">
        <f>D15+D34+D52+D68</f>
        <v>0</v>
      </c>
      <c r="F85" s="16">
        <f>F15+F34+F52+F68</f>
        <v>3579531.6</v>
      </c>
      <c r="H85" s="16">
        <f>H15+H34+H52+H68</f>
        <v>-16484328.4</v>
      </c>
      <c r="J85" s="16">
        <f>J15+J34+J52+J68</f>
        <v>16013071.6</v>
      </c>
      <c r="K85" s="16"/>
      <c r="L85" s="16">
        <f>SUM(B85:K85)</f>
        <v>3108274.7999999989</v>
      </c>
    </row>
    <row r="86" spans="1:12">
      <c r="A86">
        <v>2025</v>
      </c>
      <c r="B86" s="16"/>
      <c r="D86" s="16"/>
      <c r="F86" s="16"/>
      <c r="H86" s="16">
        <f>H16+H35+H53+H69</f>
        <v>-16484328.4</v>
      </c>
      <c r="J86" s="16">
        <f>J16+J35+J53+J69</f>
        <v>16013071.6</v>
      </c>
      <c r="K86" s="16"/>
      <c r="L86" s="16">
        <f>SUM(B86:K86)</f>
        <v>-471256.80000000075</v>
      </c>
    </row>
    <row r="87" spans="1:12">
      <c r="A87">
        <v>2026</v>
      </c>
      <c r="B87" s="16"/>
      <c r="D87" s="16"/>
      <c r="F87" s="16"/>
      <c r="J87" s="16">
        <f>J17+J36+J54+J70</f>
        <v>16013071.6</v>
      </c>
      <c r="K87" s="16"/>
      <c r="L87" s="16">
        <f>SUM(B87:K87)</f>
        <v>16013071.6</v>
      </c>
    </row>
    <row r="88" spans="1:12">
      <c r="A88">
        <v>2027</v>
      </c>
      <c r="B88" s="16"/>
      <c r="D88" s="16"/>
      <c r="F88" s="16"/>
      <c r="J88" s="16"/>
      <c r="K88" s="16"/>
      <c r="L88" s="16"/>
    </row>
    <row r="89" spans="1:12">
      <c r="J89" s="131"/>
      <c r="K89" s="131"/>
      <c r="L89" s="111">
        <f>SUM(L84:L88)</f>
        <v>20852284.799999997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Eric Carpenter</cp:lastModifiedBy>
  <cp:lastPrinted>2016-10-24T21:30:09Z</cp:lastPrinted>
  <dcterms:created xsi:type="dcterms:W3CDTF">2009-09-23T16:56:24Z</dcterms:created>
  <dcterms:modified xsi:type="dcterms:W3CDTF">2022-10-25T20:38:06Z</dcterms:modified>
</cp:coreProperties>
</file>